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450" windowWidth="15420" windowHeight="3255"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bella Riconciliazione" sheetId="15" r:id="rId15"/>
    <sheet name="Valori Medi" sheetId="16" r:id="rId16"/>
    <sheet name="Squadratura 1" sheetId="17" r:id="rId17"/>
    <sheet name="Squadratura 2" sheetId="18" r:id="rId18"/>
    <sheet name="Squadratura 3" sheetId="19" r:id="rId19"/>
    <sheet name="Squadratura 4" sheetId="20" r:id="rId20"/>
    <sheet name="Incongruenze 1 e 11" sheetId="21" r:id="rId21"/>
    <sheet name="Incongruenza 2" sheetId="22" r:id="rId22"/>
    <sheet name="Incongruenze 3, 12 e 13" sheetId="23" r:id="rId23"/>
    <sheet name="Incongruenza 4 e controlli t14" sheetId="24" r:id="rId24"/>
    <sheet name="Incongruenza 5" sheetId="25" r:id="rId25"/>
    <sheet name="Incongruenza 6" sheetId="26" r:id="rId26"/>
    <sheet name="Incongruenza 7" sheetId="27" r:id="rId27"/>
    <sheet name="Incongruenza 8" sheetId="28" r:id="rId28"/>
    <sheet name="Incongruenza 14" sheetId="29" r:id="rId29"/>
  </sheets>
  <externalReferences>
    <externalReference r:id="rId32"/>
    <externalReference r:id="rId33"/>
  </externalReferences>
  <definedNames>
    <definedName name="_xlfn.BAHTTEXT" hidden="1">#NAME?</definedName>
    <definedName name="_xlfn.SINGLE" hidden="1">#NAME?</definedName>
    <definedName name="_xlnm.Print_Area" localSheetId="20">'Incongruenze 1 e 11'!$A$1:$E$21</definedName>
    <definedName name="_xlnm.Print_Area" localSheetId="22">'Incongruenze 3, 12 e 13'!$A$1:$D$14</definedName>
    <definedName name="_xlnm.Print_Area" localSheetId="0">'SI_1'!$A$1:$H$185</definedName>
    <definedName name="_xlnm.Print_Area" localSheetId="16">'Squadratura 1'!$A$1:$J$15</definedName>
    <definedName name="_xlnm.Print_Area" localSheetId="17">'Squadratura 2'!$A$1:$L$16</definedName>
    <definedName name="_xlnm.Print_Area" localSheetId="18">'Squadratura 3'!$A$1:$AB$17</definedName>
    <definedName name="_xlnm.Print_Area" localSheetId="19">'Squadratura 4'!$A$1:$I$15</definedName>
    <definedName name="_xlnm.Print_Area" localSheetId="1">'t1'!$A$1:$AJ$17</definedName>
    <definedName name="_xlnm.Print_Area" localSheetId="9">'t10'!$A$1:$AV$17</definedName>
    <definedName name="_xlnm.Print_Area" localSheetId="10">'t11'!$A$1:$AZ$17</definedName>
    <definedName name="_xlnm.Print_Area" localSheetId="11">'t12'!$A$1:$AI$19</definedName>
    <definedName name="_xlnm.Print_Area" localSheetId="12">'t13'!$A$1:$AO$18</definedName>
    <definedName name="_xlnm.Print_Area" localSheetId="13">'t14'!$A$1:$D$34</definedName>
    <definedName name="_xlnm.Print_Area" localSheetId="2">'t3'!$A$1:$R$20</definedName>
    <definedName name="_xlnm.Print_Area" localSheetId="3">'t4'!$A$1:$L$17</definedName>
    <definedName name="_xlnm.Print_Area" localSheetId="4">'t5'!$A$1:$T$19</definedName>
    <definedName name="_xlnm.Print_Area" localSheetId="6">'t7'!$A$1:$X$17</definedName>
    <definedName name="_xlnm.Print_Area" localSheetId="7">'t8'!$A$1:$AB$18</definedName>
    <definedName name="_xlnm.Print_Area" localSheetId="8">'t9'!$A$1:$P$17</definedName>
    <definedName name="_xlnm.Print_Area" localSheetId="15">'Valori Medi'!$A$1:$S$17</definedName>
    <definedName name="CODI_ISTITUZIONE">#REF!</definedName>
    <definedName name="CODI_ISTITUZIONE2" localSheetId="28">#REF!</definedName>
    <definedName name="CODI_ISTITUZIONE2" localSheetId="27">#REF!</definedName>
    <definedName name="CODI_ISTITUZIONE2" localSheetId="22">#REF!</definedName>
    <definedName name="CODI_ISTITUZIONE2">#REF!</definedName>
    <definedName name="DESC_ISTITUZIONE">#REF!</definedName>
    <definedName name="DESC_ISTITUZIONE2" localSheetId="28">#REF!</definedName>
    <definedName name="DESC_ISTITUZIONE2" localSheetId="27">#REF!</definedName>
    <definedName name="DESC_ISTITUZIONE2" localSheetId="22">#REF!</definedName>
    <definedName name="DESC_ISTITUZIONE2">#REF!</definedName>
    <definedName name="_xlnm.Print_Titles" localSheetId="21">'Incongruenza 2'!$1:$5</definedName>
    <definedName name="_xlnm.Print_Titles" localSheetId="24">'Incongruenza 5'!$1:$5</definedName>
    <definedName name="_xlnm.Print_Titles" localSheetId="25">'Incongruenza 6'!$1:$5</definedName>
    <definedName name="_xlnm.Print_Titles" localSheetId="26">'Incongruenza 7'!$1:$4</definedName>
    <definedName name="_xlnm.Print_Titles" localSheetId="27">'Incongruenza 8'!$1:$5</definedName>
    <definedName name="_xlnm.Print_Titles" localSheetId="20">'Incongruenze 1 e 11'!$4:$4</definedName>
    <definedName name="_xlnm.Print_Titles" localSheetId="22">'Incongruenze 3, 12 e 13'!$4:$4</definedName>
    <definedName name="_xlnm.Print_Titles" localSheetId="16">'Squadratura 1'!$1:$5</definedName>
    <definedName name="_xlnm.Print_Titles" localSheetId="17">'Squadratura 2'!$1:$6</definedName>
    <definedName name="_xlnm.Print_Titles" localSheetId="18">'Squadratura 3'!$A:$B,'Squadratura 3'!$1:$7</definedName>
    <definedName name="_xlnm.Print_Titles" localSheetId="19">'Squadratura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5">'Valori Medi'!$A:$E,'Valori Medi'!$1:$5</definedName>
  </definedNames>
  <calcPr fullCalcOnLoad="1" fullPrecision="0"/>
</workbook>
</file>

<file path=xl/sharedStrings.xml><?xml version="1.0" encoding="utf-8"?>
<sst xmlns="http://schemas.openxmlformats.org/spreadsheetml/2006/main" count="1116" uniqueCount="534">
  <si>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</si>
  <si>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</si>
  <si>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</si>
  <si>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</si>
  <si>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</si>
  <si>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</si>
  <si>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</si>
  <si>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</si>
  <si>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</si>
  <si>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</si>
  <si>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</si>
  <si>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</si>
  <si>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</si>
  <si>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</si>
  <si>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</si>
  <si>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</si>
  <si>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</si>
  <si>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</si>
  <si>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</si>
  <si>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</si>
  <si>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</si>
  <si>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</si>
  <si>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</si>
  <si>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</si>
  <si>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</si>
  <si>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</si>
  <si>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</si>
  <si>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</si>
  <si>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</si>
  <si>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</si>
  <si>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</si>
  <si>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</si>
  <si>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</si>
  <si>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</si>
  <si>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</si>
  <si>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</si>
  <si>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</si>
  <si>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</si>
  <si>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</si>
  <si>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</si>
  <si>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</si>
  <si>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</si>
  <si>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</si>
  <si>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</si>
  <si>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</si>
  <si>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</si>
  <si>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</si>
  <si>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</si>
  <si>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</si>
  <si>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</si>
  <si>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</si>
  <si>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</si>
  <si>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</si>
  <si>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</si>
  <si>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</si>
  <si>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</si>
  <si>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</si>
  <si>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</si>
  <si>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</si>
  <si>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</si>
  <si>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</si>
  <si>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</si>
  <si>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</si>
  <si>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</si>
  <si>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</si>
  <si>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</si>
  <si>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</si>
  <si>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</si>
  <si>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</si>
  <si>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</si>
  <si>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</si>
  <si>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</si>
  <si>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</si>
  <si>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</si>
  <si>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</si>
  <si>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</si>
  <si>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</si>
  <si>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</si>
  <si>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</si>
  <si>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</si>
  <si>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</si>
  <si>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</si>
  <si>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</si>
  <si>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</si>
  <si>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</si>
  <si>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</si>
  <si>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</si>
  <si>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</si>
  <si>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</si>
  <si>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</si>
  <si>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</si>
  <si>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</si>
  <si>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</si>
  <si>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</si>
  <si>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</si>
  <si>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</si>
  <si>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</si>
  <si>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</si>
  <si>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</si>
  <si>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</si>
  <si>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</si>
  <si>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</si>
  <si>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</si>
  <si>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</si>
  <si>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</si>
  <si>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</si>
  <si>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</si>
  <si>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</si>
  <si>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</si>
  <si>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</si>
  <si>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</si>
  <si>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</si>
  <si>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</si>
  <si>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</si>
  <si>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</si>
  <si>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</si>
  <si>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</si>
  <si>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</si>
  <si>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</si>
  <si>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</si>
  <si>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</si>
  <si>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</si>
  <si>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</si>
  <si>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</si>
  <si>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</si>
  <si>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</si>
  <si>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</si>
  <si>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</si>
  <si>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</si>
  <si>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</si>
  <si>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</si>
  <si>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</si>
  <si>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</si>
  <si>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</si>
  <si>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</si>
  <si>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</si>
  <si>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</si>
  <si>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</si>
  <si>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</si>
  <si>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</si>
  <si>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</si>
  <si>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</si>
  <si>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</si>
  <si>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</si>
  <si>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</si>
  <si>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</si>
  <si>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</si>
  <si>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</si>
  <si>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</si>
  <si>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</si>
  <si>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</si>
  <si>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</si>
  <si>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</si>
  <si>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</si>
  <si>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</si>
  <si>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</si>
  <si>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</si>
  <si>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</si>
  <si>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</si>
  <si>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</si>
  <si>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</si>
  <si>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</si>
  <si>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</si>
  <si>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</si>
  <si>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</si>
  <si>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</si>
  <si>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</si>
  <si>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</si>
  <si>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</si>
  <si>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</si>
  <si>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</si>
  <si>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</si>
  <si>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</si>
  <si>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</si>
  <si>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</si>
  <si>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</si>
  <si>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</si>
  <si>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</si>
  <si>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</si>
  <si>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</si>
  <si>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</si>
  <si>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</si>
  <si>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</si>
  <si>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</si>
  <si>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</si>
  <si>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</si>
  <si>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</si>
  <si>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</si>
  <si>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</si>
  <si>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</si>
  <si>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</si>
  <si>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</si>
  <si>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</si>
  <si>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</si>
  <si>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</si>
  <si>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</si>
  <si>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</si>
  <si>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</si>
  <si>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</si>
  <si>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</si>
  <si>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</si>
  <si>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</si>
  <si>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</si>
  <si>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</si>
  <si>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</si>
  <si>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</si>
  <si>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</si>
  <si>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</si>
  <si>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</si>
  <si>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</si>
  <si>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</si>
  <si>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</si>
  <si>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</si>
  <si>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</si>
  <si>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</si>
  <si>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</si>
  <si>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</si>
  <si>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</si>
  <si>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</si>
  <si>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</si>
  <si>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</si>
  <si>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</si>
  <si>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</si>
  <si>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</si>
  <si>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</si>
  <si>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</si>
  <si>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</si>
  <si>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</si>
  <si>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</si>
  <si>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</si>
  <si>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</si>
  <si>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</si>
  <si>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</si>
  <si>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</si>
  <si>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</si>
  <si>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</si>
  <si>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</si>
  <si>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</si>
  <si>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</si>
  <si>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</si>
  <si>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</si>
  <si>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</si>
  <si>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</si>
  <si>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</si>
  <si>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</si>
  <si>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</si>
  <si>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</si>
  <si>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</si>
  <si>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</si>
  <si>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</si>
  <si>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</si>
  <si>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</si>
  <si>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</si>
  <si>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</si>
  <si>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</si>
  <si>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</si>
  <si>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</si>
  <si>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</si>
  <si>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</si>
  <si>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</si>
  <si>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</si>
  <si>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</si>
  <si>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</si>
  <si>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</si>
  <si>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</si>
  <si>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</si>
  <si>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</si>
  <si>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</si>
  <si>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</si>
  <si>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</si>
  <si>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</si>
  <si>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</si>
  <si>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</si>
  <si>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</si>
  <si>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</si>
  <si>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</si>
  <si>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</si>
  <si>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</si>
  <si>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</si>
  <si>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</si>
  <si>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</si>
  <si>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</si>
  <si>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</si>
  <si>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</si>
  <si>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</si>
  <si>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</si>
  <si>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</si>
  <si>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</si>
  <si>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</si>
  <si>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</si>
  <si>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</si>
  <si>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</si>
  <si>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</si>
  <si>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</si>
  <si>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</si>
  <si>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</si>
  <si>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</si>
  <si>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</si>
  <si>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</si>
  <si>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</si>
  <si>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</si>
  <si>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</si>
  <si>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</si>
  <si>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</si>
  <si>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</si>
  <si>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</si>
  <si>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</si>
  <si>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</si>
  <si>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</si>
  <si>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</si>
  <si>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</si>
  <si>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</si>
  <si>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</si>
  <si>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</si>
  <si>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</si>
  <si>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</si>
  <si>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</si>
  <si>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</si>
  <si>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</si>
  <si>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</si>
  <si>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</si>
  <si>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</si>
  <si>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</si>
  <si>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</si>
  <si>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</si>
  <si>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</si>
  <si>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</si>
  <si>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</si>
  <si>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</si>
  <si>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</si>
  <si>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</si>
  <si>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</si>
  <si>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</si>
  <si>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</si>
  <si>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</si>
  <si>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</si>
  <si>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</si>
  <si>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</si>
  <si>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</si>
  <si>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</si>
  <si>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</si>
  <si>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</si>
  <si>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</si>
  <si>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</si>
  <si>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</si>
  <si>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</si>
  <si>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</si>
  <si>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</si>
  <si>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</si>
  <si>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</si>
  <si>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</si>
  <si>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</si>
  <si>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</si>
  <si>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</si>
  <si>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</si>
  <si>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</si>
  <si>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</si>
  <si>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</si>
  <si>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</si>
  <si>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</si>
  <si>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</si>
  <si>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</si>
  <si>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</si>
  <si>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</si>
  <si>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</si>
  <si>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</si>
  <si>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</si>
  <si>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</si>
  <si>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</si>
  <si>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</si>
  <si>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</si>
  <si>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</si>
  <si>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</si>
  <si>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</si>
  <si>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</si>
  <si>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</si>
  <si>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</si>
  <si>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</si>
  <si>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</si>
  <si>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</si>
  <si>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</si>
  <si>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</si>
  <si>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</si>
  <si>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</si>
  <si>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</si>
  <si>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</si>
  <si>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</si>
  <si>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</si>
  <si>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</si>
  <si>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</si>
  <si>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</si>
  <si>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</si>
  <si>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T12 non compilata o assenze comunicate &gt; gg lavorabili (</t>
  </si>
  <si>
    <t>MGOR</t>
  </si>
  <si>
    <t>MAGIST.  CON FUNZ. DIRETT. APICALI GIUDICANTI DI LEGITTIMITÀ</t>
  </si>
  <si>
    <t>0D0MT1</t>
  </si>
  <si>
    <t>MAGIST. CON FUNZ. DIRETT. APICALI REQUIRENTI DI LEGITTIMITÀ</t>
  </si>
  <si>
    <t>0D0MT2</t>
  </si>
  <si>
    <t>MAGISTRATI CON FUNZIONI DIRETTIVE SUPERIORI DI LEGITTIMITÀ</t>
  </si>
  <si>
    <t>0D0MT3</t>
  </si>
  <si>
    <t>MAGISTRATI ORDINARI VII VALUT. PROF.</t>
  </si>
  <si>
    <t>0D0MT4</t>
  </si>
  <si>
    <t>MAGISTRATI ORDINARI V VALUT. PROF.</t>
  </si>
  <si>
    <t>0D0MT5</t>
  </si>
  <si>
    <t>MAGISTRATI ORDINARI DOPO 1 ANNO DALLA III VALUT. PROF.</t>
  </si>
  <si>
    <t>0D0MT6</t>
  </si>
  <si>
    <t>MAGISTRATI ORDINARI  I  VALUT. PROF.</t>
  </si>
  <si>
    <t>0D0MT7</t>
  </si>
  <si>
    <t>MAGISTRATI ORDINARI</t>
  </si>
  <si>
    <t>0D0MT8</t>
  </si>
  <si>
    <t>MAGISTRATI ORDINARI IN TIROCINIO</t>
  </si>
  <si>
    <t>0D0MT9</t>
  </si>
  <si>
    <t>ASSEGNO MAGISTRATI</t>
  </si>
  <si>
    <t>I128</t>
  </si>
  <si>
    <t>IND.SECONDA LINGUA</t>
  </si>
  <si>
    <t>I402</t>
  </si>
  <si>
    <t>IND. PROV. DA PROVV. SPECIFICI</t>
  </si>
  <si>
    <t>I517</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</si>
  <si>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</si>
  <si>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</si>
  <si>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</si>
  <si>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</si>
  <si>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INDENNITA' ART.42, COMMA 5-TER, D.LGS. 151/2001</t>
  </si>
  <si>
    <t>COMPETENZE PERSONALE COMANDATO /DISTACCATO PRESSO L'AMM.NE</t>
  </si>
  <si>
    <t>I424</t>
  </si>
  <si>
    <t>S761</t>
  </si>
  <si>
    <t>TOTALE del personale da distribuire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</si>
  <si>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</si>
  <si>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</si>
  <si>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</si>
  <si>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</si>
  <si>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</si>
  <si>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</si>
  <si>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</si>
  <si>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</si>
  <si>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</si>
  <si>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</si>
  <si>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</si>
  <si>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</si>
  <si>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</si>
  <si>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</si>
  <si>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</si>
  <si>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</si>
  <si>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</si>
  <si>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</si>
  <si>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</si>
  <si>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</si>
  <si>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</si>
  <si>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</si>
  <si>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</si>
  <si>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</si>
  <si>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</si>
  <si>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</si>
  <si>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</si>
  <si>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</si>
  <si>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</si>
  <si>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</si>
  <si>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</si>
  <si>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</si>
  <si>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</si>
  <si>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</si>
  <si>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</si>
  <si>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</si>
  <si>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</si>
  <si>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</si>
  <si>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</si>
  <si>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</si>
  <si>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</si>
  <si>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</si>
  <si>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</si>
  <si>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</si>
  <si>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l&gt;=(p+q+r+s+t)</t>
  </si>
  <si>
    <t>a&gt;=(e+f+g+h+i)</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</si>
  <si>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</si>
  <si>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</si>
  <si>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</si>
  <si>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</si>
  <si>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</si>
  <si>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</si>
  <si>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</si>
  <si>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</si>
  <si>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</si>
  <si>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le qualifiche valorizzate per l'anno)</t>
  </si>
  <si>
    <t>(sono evidenziate quelle valorizzate nella T1)</t>
  </si>
  <si>
    <t>Risoluz. rapporto di lavoro</t>
  </si>
  <si>
    <t>REFERENTE DA CONTATTARE</t>
  </si>
  <si>
    <t>Somme
dichiarate in SI_1</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</si>
  <si>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</si>
  <si>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</si>
  <si>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</si>
  <si>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</si>
  <si>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</si>
  <si>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</si>
  <si>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</si>
  <si>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</si>
  <si>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</si>
  <si>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</si>
  <si>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</si>
  <si>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</si>
  <si>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</si>
  <si>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</si>
  <si>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</si>
  <si>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</si>
  <si>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</si>
  <si>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</si>
  <si>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</si>
  <si>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</si>
  <si>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</si>
  <si>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</si>
  <si>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I418</t>
  </si>
  <si>
    <t>IN11</t>
  </si>
  <si>
    <t>IN12</t>
  </si>
  <si>
    <t>IN13</t>
  </si>
  <si>
    <t>IN14</t>
  </si>
  <si>
    <t>ESONERI</t>
  </si>
  <si>
    <t>PERSONALE IN ASPETTATIVA</t>
  </si>
  <si>
    <t>R.I.A.</t>
  </si>
  <si>
    <t>PROGRESSIONE PER CLASSI E SCATTI/FASCE RETRIBUTIVE</t>
  </si>
  <si>
    <t>A031</t>
  </si>
  <si>
    <t>A032</t>
  </si>
  <si>
    <t xml:space="preserve">STIPENDIO 
più I.I.S </t>
  </si>
  <si>
    <t>Esoneri (OUT)
(Tab 3)</t>
  </si>
  <si>
    <t>Personale in aspettativa (OUT)
(Tab 3)</t>
  </si>
  <si>
    <t>Personale assunto con procedure art. 20 D.Lgs.75/2017</t>
  </si>
  <si>
    <t>A41</t>
  </si>
  <si>
    <t>Personale assunto con procedure Art. 35, c.3-Bis, DLGS 165/01</t>
  </si>
  <si>
    <t>Licenziamenti disposti dall’ente</t>
  </si>
  <si>
    <t>IN 17</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</si>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</sst>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20">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u val="single"/>
      <sz val="6.4"/>
      <color indexed="12"/>
      <name val="Arial"/>
      <family val="2"/>
    </font>
    <font>
      <b/>
      <sz val="14"/>
      <name val="Arial"/>
      <family val="2"/>
    </font>
    <font>
      <sz val="2.25"/>
      <color indexed="8"/>
      <name val="Arial"/>
      <family val="0"/>
    </font>
    <font>
      <b/>
      <sz val="8"/>
      <color indexed="8"/>
      <name val="Arial"/>
      <family val="0"/>
    </font>
    <font>
      <sz val="2.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s>
  <borders count="1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style="thin"/>
      <right>
        <color indexed="63"/>
      </right>
      <top style="medium"/>
      <bottom style="thin"/>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3" fontId="0" fillId="0" borderId="0" applyFont="0" applyFill="0" applyBorder="0" applyAlignment="0" applyProtection="0"/>
    <xf numFmtId="0" fontId="57" fillId="7" borderId="1" applyNumberFormat="0" applyAlignment="0" applyProtection="0"/>
    <xf numFmtId="0" fontId="106" fillId="0" borderId="0" applyNumberFormat="0" applyBorder="0" applyAlignment="0">
      <protection/>
    </xf>
    <xf numFmtId="40" fontId="4" fillId="0" borderId="0" applyFont="0" applyFill="0" applyBorder="0" applyAlignment="0" applyProtection="0"/>
    <xf numFmtId="41" fontId="48"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179" fontId="3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8" fontId="4" fillId="0" borderId="0" applyFont="0" applyFill="0" applyBorder="0" applyAlignment="0" applyProtection="0"/>
    <xf numFmtId="200" fontId="48" fillId="0" borderId="0" applyFont="0" applyFill="0" applyBorder="0" applyAlignment="0" applyProtection="0"/>
    <xf numFmtId="178" fontId="4" fillId="0" borderId="0" applyFont="0" applyFill="0" applyBorder="0" applyAlignment="0" applyProtection="0"/>
  </cellStyleXfs>
  <cellXfs count="1028">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5" xfId="63" applyFont="1" applyFill="1" applyBorder="1" applyAlignment="1">
      <alignment horizontal="centerContinuous"/>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6" fillId="0" borderId="37"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justify"/>
      <protection/>
    </xf>
    <xf numFmtId="0" fontId="22" fillId="0" borderId="0" xfId="0" applyFont="1" applyAlignment="1">
      <alignment/>
    </xf>
    <xf numFmtId="0" fontId="6" fillId="0" borderId="40" xfId="0" applyFont="1" applyFill="1" applyBorder="1" applyAlignment="1" applyProtection="1">
      <alignment horizontal="justify"/>
      <protection/>
    </xf>
    <xf numFmtId="0" fontId="0" fillId="0" borderId="0" xfId="0" applyFont="1" applyAlignment="1">
      <alignment/>
    </xf>
    <xf numFmtId="0" fontId="6" fillId="0" borderId="39" xfId="0" applyFont="1" applyFill="1" applyBorder="1" applyAlignment="1" applyProtection="1">
      <alignment horizontal="left"/>
      <protection/>
    </xf>
    <xf numFmtId="0" fontId="6" fillId="0" borderId="39" xfId="0" applyFont="1" applyFill="1" applyBorder="1" applyAlignment="1" applyProtection="1">
      <alignment horizontal="justify" wrapText="1"/>
      <protection/>
    </xf>
    <xf numFmtId="0" fontId="6" fillId="0" borderId="39" xfId="0" applyFont="1" applyFill="1" applyBorder="1" applyAlignment="1" applyProtection="1">
      <alignment wrapText="1"/>
      <protection/>
    </xf>
    <xf numFmtId="0" fontId="9" fillId="0" borderId="41"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2"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43"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5" xfId="0" applyFont="1" applyFill="1" applyBorder="1" applyAlignment="1" applyProtection="1">
      <alignment horizontal="centerContinuous" vertical="center" wrapText="1"/>
      <protection/>
    </xf>
    <xf numFmtId="0" fontId="6" fillId="0" borderId="36" xfId="0" applyFont="1" applyFill="1" applyBorder="1" applyAlignment="1" applyProtection="1">
      <alignment horizontal="left"/>
      <protection/>
    </xf>
    <xf numFmtId="0" fontId="9" fillId="0" borderId="44" xfId="65" applyFont="1" applyFill="1" applyBorder="1" applyAlignment="1">
      <alignment horizontal="centerContinuous" vertical="center"/>
      <protection/>
    </xf>
    <xf numFmtId="0" fontId="6" fillId="0" borderId="40" xfId="0" applyFont="1" applyFill="1" applyBorder="1" applyAlignment="1" applyProtection="1">
      <alignment horizontal="justify" wrapText="1"/>
      <protection/>
    </xf>
    <xf numFmtId="0" fontId="9" fillId="24" borderId="46"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7" xfId="63" applyFont="1" applyFill="1" applyBorder="1" applyAlignment="1" applyProtection="1">
      <alignment horizontal="centerContinuous" vertical="center" wrapText="1"/>
      <protection/>
    </xf>
    <xf numFmtId="0" fontId="20" fillId="24" borderId="44" xfId="63" applyFont="1" applyFill="1" applyBorder="1" applyAlignment="1">
      <alignment horizontal="centerContinuous" vertical="center"/>
      <protection/>
    </xf>
    <xf numFmtId="0" fontId="20" fillId="24" borderId="44"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35"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35"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51"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9" fillId="0" borderId="54" xfId="66" applyFont="1" applyFill="1" applyBorder="1" applyAlignment="1" applyProtection="1">
      <alignment horizontal="center" vertical="center"/>
      <protection/>
    </xf>
    <xf numFmtId="0" fontId="9" fillId="0" borderId="54"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29" fillId="0" borderId="0" xfId="0" applyFont="1" applyAlignment="1">
      <alignment/>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6" fillId="0" borderId="40"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8"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51"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59"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30" fillId="0" borderId="0" xfId="0" applyFont="1" applyAlignment="1">
      <alignment horizontal="center"/>
    </xf>
    <xf numFmtId="0" fontId="30" fillId="0" borderId="0" xfId="0" applyFont="1" applyAlignment="1">
      <alignment/>
    </xf>
    <xf numFmtId="0" fontId="6" fillId="0" borderId="49" xfId="0" applyFont="1" applyFill="1" applyBorder="1" applyAlignment="1" applyProtection="1">
      <alignment horizontal="left"/>
      <protection/>
    </xf>
    <xf numFmtId="0" fontId="6" fillId="0" borderId="60" xfId="0" applyFont="1" applyFill="1" applyBorder="1" applyAlignment="1" applyProtection="1">
      <alignment horizontal="left"/>
      <protection/>
    </xf>
    <xf numFmtId="3" fontId="9" fillId="0" borderId="61"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8"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63"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4" fontId="6" fillId="0" borderId="64"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3" fontId="16" fillId="0" borderId="70" xfId="0" applyNumberFormat="1" applyFont="1" applyFill="1" applyBorder="1" applyAlignment="1" applyProtection="1">
      <alignment/>
      <protection locked="0"/>
    </xf>
    <xf numFmtId="3" fontId="16" fillId="0" borderId="71"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6" xfId="0" applyFont="1" applyFill="1" applyBorder="1" applyAlignment="1">
      <alignment horizontal="center" vertical="center"/>
    </xf>
    <xf numFmtId="0" fontId="6" fillId="0" borderId="77"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64"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8" xfId="64" applyNumberFormat="1" applyFont="1" applyFill="1" applyBorder="1" applyProtection="1">
      <alignment/>
      <protection locked="0"/>
    </xf>
    <xf numFmtId="3" fontId="6" fillId="0" borderId="64" xfId="64" applyNumberFormat="1" applyFont="1" applyFill="1" applyBorder="1" applyProtection="1">
      <alignment/>
      <protection locked="0"/>
    </xf>
    <xf numFmtId="0" fontId="6" fillId="0" borderId="79" xfId="0" applyFont="1" applyFill="1" applyBorder="1" applyAlignment="1" applyProtection="1">
      <alignment horizontal="center"/>
      <protection/>
    </xf>
    <xf numFmtId="3" fontId="6" fillId="0" borderId="48"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81" xfId="63" applyNumberFormat="1" applyFont="1" applyFill="1" applyBorder="1" applyProtection="1">
      <alignment/>
      <protection locked="0"/>
    </xf>
    <xf numFmtId="3" fontId="6" fillId="0" borderId="64" xfId="65" applyNumberFormat="1" applyFont="1" applyFill="1" applyBorder="1" applyProtection="1">
      <alignment/>
      <protection locked="0"/>
    </xf>
    <xf numFmtId="3" fontId="6" fillId="0" borderId="48"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80"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2"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3" xfId="0" applyFont="1" applyFill="1" applyBorder="1" applyAlignment="1" applyProtection="1">
      <alignment horizontal="center" textRotation="255" wrapText="1"/>
      <protection/>
    </xf>
    <xf numFmtId="0" fontId="22" fillId="0" borderId="84" xfId="0" applyFont="1" applyFill="1" applyBorder="1" applyAlignment="1" applyProtection="1">
      <alignment horizontal="center" textRotation="255" wrapText="1"/>
      <protection/>
    </xf>
    <xf numFmtId="3" fontId="6" fillId="0" borderId="80" xfId="0" applyNumberFormat="1" applyFont="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36" xfId="0" applyNumberFormat="1" applyFont="1" applyFill="1" applyBorder="1" applyAlignment="1" applyProtection="1">
      <alignment/>
      <protection locked="0"/>
    </xf>
    <xf numFmtId="3" fontId="6" fillId="0" borderId="59" xfId="0" applyNumberFormat="1" applyFont="1" applyFill="1" applyBorder="1" applyAlignment="1" applyProtection="1">
      <alignment/>
      <protection locked="0"/>
    </xf>
    <xf numFmtId="3" fontId="6" fillId="0" borderId="64" xfId="66" applyNumberFormat="1" applyFont="1" applyFill="1" applyBorder="1" applyProtection="1">
      <alignment/>
      <protection locked="0"/>
    </xf>
    <xf numFmtId="3" fontId="6" fillId="0" borderId="48"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58" xfId="66" applyNumberFormat="1" applyFont="1" applyFill="1" applyBorder="1" applyProtection="1">
      <alignment/>
      <protection locked="0"/>
    </xf>
    <xf numFmtId="3" fontId="6" fillId="0" borderId="80" xfId="66" applyNumberFormat="1" applyFont="1" applyFill="1" applyBorder="1" applyProtection="1">
      <alignment/>
      <protection locked="0"/>
    </xf>
    <xf numFmtId="3" fontId="6" fillId="0" borderId="79"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5"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6"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7" xfId="0" applyFont="1" applyBorder="1" applyAlignment="1">
      <alignment/>
    </xf>
    <xf numFmtId="3" fontId="6" fillId="0" borderId="87" xfId="68" applyNumberFormat="1" applyFont="1" applyFill="1" applyBorder="1" applyProtection="1">
      <alignment/>
      <protection locked="0"/>
    </xf>
    <xf numFmtId="3" fontId="6" fillId="0" borderId="79" xfId="68" applyNumberFormat="1" applyFont="1" applyFill="1" applyBorder="1" applyProtection="1">
      <alignment/>
      <protection locked="0"/>
    </xf>
    <xf numFmtId="3" fontId="6" fillId="0" borderId="81" xfId="68" applyNumberFormat="1" applyFont="1" applyFill="1" applyBorder="1" applyProtection="1">
      <alignment/>
      <protection locked="0"/>
    </xf>
    <xf numFmtId="3" fontId="6" fillId="0" borderId="77" xfId="68" applyNumberFormat="1" applyFont="1" applyFill="1" applyBorder="1" applyProtection="1">
      <alignment/>
      <protection locked="0"/>
    </xf>
    <xf numFmtId="0" fontId="18" fillId="0" borderId="88"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89" xfId="66" applyFont="1" applyFill="1" applyBorder="1" applyAlignment="1" applyProtection="1">
      <alignment horizontal="center" vertical="center"/>
      <protection/>
    </xf>
    <xf numFmtId="0" fontId="14" fillId="0" borderId="89" xfId="65" applyFont="1" applyFill="1" applyBorder="1" applyAlignment="1" applyProtection="1">
      <alignment horizontal="center" vertical="center"/>
      <protection/>
    </xf>
    <xf numFmtId="0" fontId="14" fillId="0" borderId="89" xfId="64" applyFont="1" applyFill="1" applyBorder="1" applyAlignment="1" applyProtection="1">
      <alignment horizontal="center" vertical="center"/>
      <protection/>
    </xf>
    <xf numFmtId="0" fontId="14" fillId="0" borderId="89"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90" xfId="0" applyFont="1" applyFill="1" applyBorder="1" applyAlignment="1" applyProtection="1">
      <alignment horizontal="center"/>
      <protection/>
    </xf>
    <xf numFmtId="0" fontId="15" fillId="0" borderId="91" xfId="0" applyFont="1" applyFill="1" applyBorder="1" applyAlignment="1" applyProtection="1">
      <alignment horizontal="center"/>
      <protection/>
    </xf>
    <xf numFmtId="0" fontId="19" fillId="0" borderId="92"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3" xfId="0" applyFont="1" applyFill="1" applyBorder="1" applyAlignment="1" applyProtection="1">
      <alignment horizontal="center"/>
      <protection/>
    </xf>
    <xf numFmtId="0" fontId="9" fillId="0" borderId="94" xfId="0" applyFont="1" applyFill="1" applyBorder="1" applyAlignment="1" applyProtection="1">
      <alignment horizontal="center" vertical="center"/>
      <protection/>
    </xf>
    <xf numFmtId="0" fontId="9" fillId="0" borderId="95" xfId="0" applyFont="1" applyFill="1" applyBorder="1" applyAlignment="1" applyProtection="1">
      <alignment horizontal="centerContinuous" vertical="center" wrapText="1"/>
      <protection/>
    </xf>
    <xf numFmtId="0" fontId="5" fillId="0" borderId="96" xfId="68" applyFont="1" applyBorder="1" applyAlignment="1" applyProtection="1">
      <alignment horizontal="left" vertical="top"/>
      <protection/>
    </xf>
    <xf numFmtId="0" fontId="9" fillId="0" borderId="53" xfId="63" applyFont="1" applyBorder="1" applyAlignment="1">
      <alignment horizontal="right"/>
      <protection/>
    </xf>
    <xf numFmtId="0" fontId="9" fillId="0" borderId="75"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7" xfId="0" applyFont="1" applyFill="1" applyBorder="1" applyAlignment="1" applyProtection="1">
      <alignment horizontal="left" vertical="center" wrapText="1"/>
      <protection/>
    </xf>
    <xf numFmtId="0" fontId="6" fillId="0" borderId="96" xfId="0" applyFont="1" applyFill="1" applyBorder="1" applyAlignment="1">
      <alignment horizontal="centerContinuous"/>
    </xf>
    <xf numFmtId="0" fontId="8" fillId="0" borderId="98"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Continuous" vertical="center" wrapText="1"/>
      <protection/>
    </xf>
    <xf numFmtId="0" fontId="8" fillId="0" borderId="99" xfId="0" applyFont="1" applyFill="1" applyBorder="1" applyAlignment="1">
      <alignment horizontal="center" vertical="center"/>
    </xf>
    <xf numFmtId="0" fontId="9" fillId="0" borderId="93"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6" xfId="0" applyFont="1" applyFill="1" applyBorder="1" applyAlignment="1" applyProtection="1">
      <alignment horizontal="center"/>
      <protection/>
    </xf>
    <xf numFmtId="0" fontId="21" fillId="0" borderId="0" xfId="0" applyFont="1" applyAlignment="1">
      <alignment horizontal="left"/>
    </xf>
    <xf numFmtId="38" fontId="6" fillId="0" borderId="51" xfId="47" applyNumberFormat="1" applyFont="1" applyBorder="1" applyAlignment="1">
      <alignment/>
    </xf>
    <xf numFmtId="38" fontId="6" fillId="0" borderId="36" xfId="47" applyNumberFormat="1" applyFont="1" applyBorder="1" applyAlignment="1">
      <alignment/>
    </xf>
    <xf numFmtId="38" fontId="6" fillId="0" borderId="62" xfId="47" applyNumberFormat="1" applyFont="1" applyBorder="1" applyAlignment="1">
      <alignment/>
    </xf>
    <xf numFmtId="0" fontId="6" fillId="0" borderId="36" xfId="0" applyFont="1" applyBorder="1" applyAlignment="1">
      <alignment horizontal="center"/>
    </xf>
    <xf numFmtId="0" fontId="6" fillId="0" borderId="51"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24" borderId="64"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0" fontId="32" fillId="0" borderId="96"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0" xfId="67" applyNumberFormat="1" applyFont="1" applyFill="1" applyBorder="1" applyAlignment="1" applyProtection="1">
      <alignment/>
      <protection locked="0"/>
    </xf>
    <xf numFmtId="3" fontId="6" fillId="0" borderId="79" xfId="67" applyNumberFormat="1" applyFont="1" applyFill="1" applyBorder="1" applyAlignment="1" applyProtection="1">
      <alignment/>
      <protection locked="0"/>
    </xf>
    <xf numFmtId="3" fontId="6" fillId="0" borderId="101"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4"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48" xfId="67" applyNumberFormat="1" applyFont="1" applyFill="1" applyBorder="1" applyAlignment="1" applyProtection="1">
      <alignment/>
      <protection locked="0"/>
    </xf>
    <xf numFmtId="3" fontId="6" fillId="0" borderId="80" xfId="67" applyNumberFormat="1" applyFont="1" applyFill="1" applyBorder="1" applyAlignment="1" applyProtection="1">
      <alignment/>
      <protection locked="0"/>
    </xf>
    <xf numFmtId="3" fontId="6" fillId="0" borderId="82"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102"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3" fillId="0" borderId="0" xfId="61" applyAlignment="1">
      <alignment vertical="center"/>
      <protection/>
    </xf>
    <xf numFmtId="179" fontId="34" fillId="0" borderId="0" xfId="61" applyFont="1" applyAlignment="1">
      <alignment vertical="center"/>
      <protection/>
    </xf>
    <xf numFmtId="179" fontId="33"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8" fillId="0" borderId="0" xfId="61" applyFont="1" applyAlignment="1">
      <alignment vertical="top"/>
      <protection/>
    </xf>
    <xf numFmtId="179" fontId="38" fillId="0" borderId="0" xfId="61" applyFont="1" applyAlignment="1">
      <alignment vertical="center"/>
      <protection/>
    </xf>
    <xf numFmtId="179" fontId="33" fillId="0" borderId="0" xfId="62" applyNumberFormat="1" applyFont="1" applyAlignment="1">
      <alignment vertical="center"/>
      <protection/>
    </xf>
    <xf numFmtId="179" fontId="40" fillId="0" borderId="0" xfId="61" applyFont="1" applyAlignment="1">
      <alignment vertical="center"/>
      <protection/>
    </xf>
    <xf numFmtId="179" fontId="13" fillId="0" borderId="0" xfId="61" applyFont="1" applyAlignment="1" applyProtection="1">
      <alignment horizontal="left" vertical="center"/>
      <protection/>
    </xf>
    <xf numFmtId="0" fontId="15" fillId="0" borderId="79"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2"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8" xfId="0" applyFont="1" applyFill="1" applyBorder="1" applyAlignment="1">
      <alignment horizontal="centerContinuous"/>
    </xf>
    <xf numFmtId="0" fontId="6" fillId="0" borderId="103" xfId="0" applyFont="1" applyFill="1" applyBorder="1" applyAlignment="1">
      <alignment horizontal="center"/>
    </xf>
    <xf numFmtId="179" fontId="16" fillId="0" borderId="0" xfId="61" applyFont="1" applyAlignment="1" applyProtection="1">
      <alignment vertical="center"/>
      <protection/>
    </xf>
    <xf numFmtId="179" fontId="35" fillId="0" borderId="0" xfId="61" applyFont="1" applyAlignment="1" applyProtection="1">
      <alignment vertical="center"/>
      <protection/>
    </xf>
    <xf numFmtId="179" fontId="33"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8" fillId="0" borderId="0" xfId="61" applyFont="1" applyAlignment="1" applyProtection="1">
      <alignment vertical="top"/>
      <protection/>
    </xf>
    <xf numFmtId="179" fontId="9" fillId="0" borderId="0" xfId="61" applyFont="1" applyAlignment="1" applyProtection="1">
      <alignment vertical="center"/>
      <protection/>
    </xf>
    <xf numFmtId="179" fontId="38" fillId="0" borderId="0" xfId="61" applyFont="1" applyAlignment="1" applyProtection="1">
      <alignment vertical="center"/>
      <protection/>
    </xf>
    <xf numFmtId="179" fontId="6" fillId="0" borderId="0" xfId="61" applyFont="1" applyAlignment="1" applyProtection="1">
      <alignment vertical="center"/>
      <protection/>
    </xf>
    <xf numFmtId="179" fontId="39"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7"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40"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6" xfId="61" applyFont="1" applyFill="1" applyBorder="1" applyAlignment="1" applyProtection="1">
      <alignment horizontal="center" vertical="center"/>
      <protection/>
    </xf>
    <xf numFmtId="179" fontId="33" fillId="0" borderId="0" xfId="61" applyFont="1" applyAlignment="1" applyProtection="1">
      <alignment vertical="center"/>
      <protection/>
    </xf>
    <xf numFmtId="0" fontId="0" fillId="0" borderId="0" xfId="60" applyAlignment="1" applyProtection="1">
      <alignment vertical="center"/>
      <protection/>
    </xf>
    <xf numFmtId="179" fontId="41"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4" fillId="0" borderId="0" xfId="61" applyNumberFormat="1" applyFont="1" applyAlignment="1" applyProtection="1">
      <alignment vertical="center"/>
      <protection/>
    </xf>
    <xf numFmtId="179" fontId="43" fillId="0" borderId="0" xfId="61" applyFont="1" applyAlignment="1" applyProtection="1">
      <alignment vertical="center"/>
      <protection/>
    </xf>
    <xf numFmtId="204" fontId="33" fillId="0" borderId="0" xfId="61" applyNumberFormat="1" applyAlignment="1" applyProtection="1">
      <alignment vertical="center"/>
      <protection locked="0"/>
    </xf>
    <xf numFmtId="0" fontId="6" fillId="0" borderId="79" xfId="68" applyFont="1" applyFill="1" applyBorder="1" applyAlignment="1">
      <alignment horizontal="centerContinuous" vertical="center" wrapText="1"/>
      <protection/>
    </xf>
    <xf numFmtId="0" fontId="17" fillId="0" borderId="87" xfId="68" applyFont="1" applyFill="1" applyBorder="1" applyAlignment="1" applyProtection="1">
      <alignment horizontal="centerContinuous" vertical="center" wrapText="1"/>
      <protection/>
    </xf>
    <xf numFmtId="0" fontId="17" fillId="0" borderId="104" xfId="68" applyFont="1" applyFill="1" applyBorder="1" applyAlignment="1" applyProtection="1">
      <alignment horizontal="centerContinuous" vertical="center" wrapText="1"/>
      <protection/>
    </xf>
    <xf numFmtId="0" fontId="18" fillId="0" borderId="105"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4" fillId="0" borderId="0" xfId="0" applyFont="1" applyAlignment="1">
      <alignment/>
    </xf>
    <xf numFmtId="38" fontId="44" fillId="0" borderId="0" xfId="0" applyNumberFormat="1" applyFont="1" applyAlignment="1">
      <alignment/>
    </xf>
    <xf numFmtId="0" fontId="45" fillId="0" borderId="0" xfId="0" applyFont="1" applyAlignment="1">
      <alignment/>
    </xf>
    <xf numFmtId="0" fontId="0" fillId="0" borderId="0" xfId="0" applyFont="1" applyAlignment="1">
      <alignment/>
    </xf>
    <xf numFmtId="0" fontId="0" fillId="0" borderId="0" xfId="0" applyFont="1" applyAlignment="1">
      <alignment/>
    </xf>
    <xf numFmtId="10" fontId="0" fillId="0" borderId="91" xfId="71" applyNumberFormat="1" applyFont="1" applyBorder="1" applyAlignment="1">
      <alignment horizontal="center"/>
    </xf>
    <xf numFmtId="10" fontId="0" fillId="0" borderId="70" xfId="71" applyNumberFormat="1" applyFont="1" applyBorder="1" applyAlignment="1">
      <alignment horizontal="center"/>
    </xf>
    <xf numFmtId="10" fontId="0" fillId="0" borderId="106" xfId="71" applyNumberFormat="1" applyFont="1" applyBorder="1" applyAlignment="1">
      <alignment horizontal="center"/>
    </xf>
    <xf numFmtId="10" fontId="25" fillId="0" borderId="62" xfId="71" applyNumberFormat="1" applyFont="1" applyBorder="1" applyAlignment="1">
      <alignment horizontal="center" wrapText="1"/>
    </xf>
    <xf numFmtId="10" fontId="0" fillId="0" borderId="62" xfId="71" applyNumberFormat="1" applyFont="1" applyBorder="1" applyAlignment="1">
      <alignment horizontal="center"/>
    </xf>
    <xf numFmtId="10" fontId="0" fillId="0" borderId="58" xfId="71" applyNumberFormat="1" applyFont="1" applyBorder="1" applyAlignment="1">
      <alignment horizontal="center"/>
    </xf>
    <xf numFmtId="206" fontId="6" fillId="24" borderId="64" xfId="0" applyNumberFormat="1" applyFont="1" applyFill="1" applyBorder="1" applyAlignment="1">
      <alignment/>
    </xf>
    <xf numFmtId="206" fontId="6" fillId="24" borderId="91" xfId="0" applyNumberFormat="1" applyFont="1" applyFill="1" applyBorder="1" applyAlignment="1">
      <alignment/>
    </xf>
    <xf numFmtId="206" fontId="6" fillId="0" borderId="107" xfId="0" applyNumberFormat="1" applyFont="1" applyFill="1" applyBorder="1" applyAlignment="1">
      <alignment/>
    </xf>
    <xf numFmtId="206" fontId="6" fillId="0" borderId="108" xfId="0" applyNumberFormat="1" applyFont="1" applyFill="1" applyBorder="1" applyAlignment="1">
      <alignment/>
    </xf>
    <xf numFmtId="206" fontId="6" fillId="0" borderId="109" xfId="0" applyNumberFormat="1" applyFont="1" applyFill="1" applyBorder="1" applyAlignment="1">
      <alignment/>
    </xf>
    <xf numFmtId="206" fontId="6" fillId="0" borderId="53" xfId="63" applyNumberFormat="1" applyFont="1" applyFill="1" applyBorder="1">
      <alignment/>
      <protection/>
    </xf>
    <xf numFmtId="206" fontId="6" fillId="0" borderId="108" xfId="63" applyNumberFormat="1" applyFont="1" applyFill="1" applyBorder="1">
      <alignment/>
      <protection/>
    </xf>
    <xf numFmtId="206" fontId="6" fillId="0" borderId="107" xfId="63" applyNumberFormat="1" applyFont="1" applyFill="1" applyBorder="1">
      <alignment/>
      <protection/>
    </xf>
    <xf numFmtId="206" fontId="6" fillId="24" borderId="65" xfId="0" applyNumberFormat="1" applyFont="1" applyFill="1" applyBorder="1" applyAlignment="1">
      <alignment/>
    </xf>
    <xf numFmtId="206" fontId="6" fillId="24" borderId="110" xfId="0" applyNumberFormat="1" applyFont="1" applyFill="1" applyBorder="1" applyAlignment="1">
      <alignment vertical="center"/>
    </xf>
    <xf numFmtId="206" fontId="6" fillId="0" borderId="107" xfId="0" applyNumberFormat="1" applyFont="1" applyFill="1" applyBorder="1" applyAlignment="1" applyProtection="1">
      <alignment vertical="center"/>
      <protection/>
    </xf>
    <xf numFmtId="206" fontId="6" fillId="0" borderId="111" xfId="0" applyNumberFormat="1" applyFont="1" applyFill="1" applyBorder="1" applyAlignment="1" applyProtection="1">
      <alignment vertical="center"/>
      <protection/>
    </xf>
    <xf numFmtId="206" fontId="6" fillId="0" borderId="87" xfId="63" applyNumberFormat="1" applyFont="1" applyFill="1" applyBorder="1" applyProtection="1">
      <alignment/>
      <protection/>
    </xf>
    <xf numFmtId="206" fontId="6" fillId="0" borderId="90" xfId="63" applyNumberFormat="1" applyFont="1" applyFill="1" applyBorder="1" applyProtection="1">
      <alignment/>
      <protection/>
    </xf>
    <xf numFmtId="206" fontId="6" fillId="0" borderId="66" xfId="63" applyNumberFormat="1" applyFont="1" applyFill="1" applyBorder="1" applyProtection="1">
      <alignment/>
      <protection/>
    </xf>
    <xf numFmtId="206" fontId="6" fillId="0" borderId="91" xfId="63" applyNumberFormat="1" applyFont="1" applyFill="1" applyBorder="1" applyProtection="1">
      <alignment/>
      <protection/>
    </xf>
    <xf numFmtId="206" fontId="6" fillId="0" borderId="107" xfId="63" applyNumberFormat="1" applyFont="1" applyFill="1" applyBorder="1" applyProtection="1">
      <alignment/>
      <protection/>
    </xf>
    <xf numFmtId="206" fontId="6" fillId="0" borderId="108" xfId="63" applyNumberFormat="1" applyFont="1" applyFill="1" applyBorder="1" applyProtection="1">
      <alignment/>
      <protection/>
    </xf>
    <xf numFmtId="206" fontId="6" fillId="0" borderId="81" xfId="64" applyNumberFormat="1" applyFont="1" applyFill="1" applyBorder="1" applyAlignment="1" applyProtection="1">
      <alignment/>
      <protection/>
    </xf>
    <xf numFmtId="206" fontId="6" fillId="0" borderId="70" xfId="64" applyNumberFormat="1" applyFont="1" applyFill="1" applyBorder="1" applyAlignment="1" applyProtection="1">
      <alignment/>
      <protection/>
    </xf>
    <xf numFmtId="206" fontId="6" fillId="24" borderId="107" xfId="64" applyNumberFormat="1" applyFont="1" applyFill="1" applyBorder="1" applyAlignment="1">
      <alignment/>
      <protection/>
    </xf>
    <xf numFmtId="206" fontId="6" fillId="24" borderId="109" xfId="64" applyNumberFormat="1" applyFont="1" applyFill="1" applyBorder="1" applyAlignment="1">
      <alignment/>
      <protection/>
    </xf>
    <xf numFmtId="206" fontId="6" fillId="24" borderId="108" xfId="64" applyNumberFormat="1" applyFont="1" applyFill="1" applyBorder="1" applyAlignment="1">
      <alignment/>
      <protection/>
    </xf>
    <xf numFmtId="206" fontId="6" fillId="24" borderId="107" xfId="65" applyNumberFormat="1" applyFont="1" applyFill="1" applyBorder="1">
      <alignment/>
      <protection/>
    </xf>
    <xf numFmtId="206" fontId="6" fillId="24" borderId="108" xfId="65" applyNumberFormat="1" applyFont="1" applyFill="1" applyBorder="1">
      <alignment/>
      <protection/>
    </xf>
    <xf numFmtId="206" fontId="6" fillId="24" borderId="109" xfId="65" applyNumberFormat="1" applyFont="1" applyFill="1" applyBorder="1">
      <alignment/>
      <protection/>
    </xf>
    <xf numFmtId="206" fontId="6" fillId="24" borderId="80" xfId="65" applyNumberFormat="1" applyFont="1" applyFill="1" applyBorder="1">
      <alignment/>
      <protection/>
    </xf>
    <xf numFmtId="206" fontId="6" fillId="24" borderId="112" xfId="65" applyNumberFormat="1" applyFont="1" applyFill="1" applyBorder="1">
      <alignment/>
      <protection/>
    </xf>
    <xf numFmtId="206" fontId="6" fillId="24" borderId="68" xfId="65" applyNumberFormat="1" applyFont="1" applyFill="1" applyBorder="1">
      <alignment/>
      <protection/>
    </xf>
    <xf numFmtId="206" fontId="6" fillId="24" borderId="87" xfId="66" applyNumberFormat="1" applyFont="1" applyFill="1" applyBorder="1">
      <alignment/>
      <protection/>
    </xf>
    <xf numFmtId="206" fontId="6" fillId="24" borderId="112" xfId="66" applyNumberFormat="1" applyFont="1" applyFill="1" applyBorder="1">
      <alignment/>
      <protection/>
    </xf>
    <xf numFmtId="206" fontId="6" fillId="24" borderId="66" xfId="66" applyNumberFormat="1" applyFont="1" applyFill="1" applyBorder="1">
      <alignment/>
      <protection/>
    </xf>
    <xf numFmtId="206" fontId="6" fillId="24" borderId="68" xfId="66" applyNumberFormat="1" applyFont="1" applyFill="1" applyBorder="1">
      <alignment/>
      <protection/>
    </xf>
    <xf numFmtId="206" fontId="6" fillId="24" borderId="107" xfId="66" applyNumberFormat="1" applyFont="1" applyFill="1" applyBorder="1">
      <alignment/>
      <protection/>
    </xf>
    <xf numFmtId="206" fontId="6" fillId="24" borderId="109" xfId="66" applyNumberFormat="1" applyFont="1" applyFill="1" applyBorder="1">
      <alignment/>
      <protection/>
    </xf>
    <xf numFmtId="206" fontId="6" fillId="24" borderId="108" xfId="66" applyNumberFormat="1" applyFont="1" applyFill="1" applyBorder="1">
      <alignment/>
      <protection/>
    </xf>
    <xf numFmtId="206" fontId="6" fillId="24" borderId="81" xfId="67" applyNumberFormat="1" applyFont="1" applyFill="1" applyBorder="1" applyAlignment="1">
      <alignment/>
      <protection/>
    </xf>
    <xf numFmtId="206" fontId="6" fillId="24" borderId="77" xfId="67" applyNumberFormat="1" applyFont="1" applyFill="1" applyBorder="1" applyAlignment="1">
      <alignment/>
      <protection/>
    </xf>
    <xf numFmtId="206" fontId="6" fillId="24" borderId="107" xfId="67" applyNumberFormat="1" applyFont="1" applyFill="1" applyBorder="1" applyAlignment="1">
      <alignment/>
      <protection/>
    </xf>
    <xf numFmtId="206" fontId="6" fillId="24" borderId="108" xfId="67" applyNumberFormat="1" applyFont="1" applyFill="1" applyBorder="1" applyAlignment="1">
      <alignment/>
      <protection/>
    </xf>
    <xf numFmtId="206" fontId="6" fillId="24" borderId="87" xfId="0" applyNumberFormat="1" applyFont="1" applyFill="1" applyBorder="1" applyAlignment="1">
      <alignment/>
    </xf>
    <xf numFmtId="206" fontId="6" fillId="24" borderId="90" xfId="0" applyNumberFormat="1" applyFont="1" applyFill="1" applyBorder="1" applyAlignment="1">
      <alignment/>
    </xf>
    <xf numFmtId="206" fontId="6" fillId="24" borderId="66" xfId="0" applyNumberFormat="1" applyFont="1" applyFill="1" applyBorder="1" applyAlignment="1">
      <alignment/>
    </xf>
    <xf numFmtId="206" fontId="6" fillId="24" borderId="91" xfId="0" applyNumberFormat="1" applyFont="1" applyFill="1" applyBorder="1" applyAlignment="1">
      <alignment/>
    </xf>
    <xf numFmtId="206" fontId="6" fillId="0" borderId="107" xfId="0" applyNumberFormat="1" applyFont="1" applyFill="1" applyBorder="1" applyAlignment="1" applyProtection="1">
      <alignment/>
      <protection/>
    </xf>
    <xf numFmtId="206" fontId="6" fillId="0" borderId="109" xfId="0" applyNumberFormat="1" applyFont="1" applyFill="1" applyBorder="1" applyAlignment="1" applyProtection="1">
      <alignment/>
      <protection/>
    </xf>
    <xf numFmtId="206" fontId="6" fillId="0" borderId="108" xfId="0" applyNumberFormat="1" applyFont="1" applyFill="1" applyBorder="1" applyAlignment="1" applyProtection="1">
      <alignment/>
      <protection/>
    </xf>
    <xf numFmtId="206" fontId="6" fillId="24" borderId="107" xfId="68" applyNumberFormat="1" applyFont="1" applyFill="1" applyBorder="1">
      <alignment/>
      <protection/>
    </xf>
    <xf numFmtId="206" fontId="6" fillId="24" borderId="108" xfId="68" applyNumberFormat="1" applyFont="1" applyFill="1" applyBorder="1">
      <alignment/>
      <protection/>
    </xf>
    <xf numFmtId="206" fontId="6" fillId="24" borderId="109" xfId="68" applyNumberFormat="1" applyFont="1" applyFill="1" applyBorder="1">
      <alignment/>
      <protection/>
    </xf>
    <xf numFmtId="0" fontId="6" fillId="0" borderId="113" xfId="68" applyFont="1" applyFill="1" applyBorder="1" applyAlignment="1">
      <alignment horizontal="centerContinuous" vertical="center" wrapText="1"/>
      <protection/>
    </xf>
    <xf numFmtId="206" fontId="6" fillId="24" borderId="114" xfId="0" applyNumberFormat="1" applyFont="1" applyFill="1" applyBorder="1" applyAlignment="1">
      <alignment/>
    </xf>
    <xf numFmtId="206" fontId="6" fillId="24" borderId="115" xfId="0" applyNumberFormat="1" applyFont="1" applyFill="1" applyBorder="1" applyAlignment="1">
      <alignment/>
    </xf>
    <xf numFmtId="206" fontId="6" fillId="24" borderId="65" xfId="0" applyNumberFormat="1" applyFont="1" applyFill="1" applyBorder="1" applyAlignment="1">
      <alignment/>
    </xf>
    <xf numFmtId="206" fontId="6" fillId="24" borderId="107" xfId="0" applyNumberFormat="1" applyFont="1" applyFill="1" applyBorder="1" applyAlignment="1">
      <alignment/>
    </xf>
    <xf numFmtId="206" fontId="6" fillId="24" borderId="68" xfId="0" applyNumberFormat="1" applyFont="1" applyFill="1" applyBorder="1" applyAlignment="1">
      <alignment/>
    </xf>
    <xf numFmtId="0" fontId="35"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3" fillId="0" borderId="0" xfId="61" applyNumberFormat="1" applyAlignment="1" applyProtection="1">
      <alignment vertical="center"/>
      <protection locked="0"/>
    </xf>
    <xf numFmtId="0" fontId="24" fillId="0" borderId="116"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7" xfId="0" applyFont="1" applyFill="1" applyBorder="1" applyAlignment="1" applyProtection="1">
      <alignment horizontal="center" vertical="center" wrapText="1"/>
      <protection/>
    </xf>
    <xf numFmtId="0" fontId="46" fillId="0" borderId="31" xfId="0" applyFont="1" applyFill="1" applyBorder="1" applyAlignment="1">
      <alignment horizontal="center" vertical="center" wrapText="1"/>
    </xf>
    <xf numFmtId="0" fontId="46" fillId="0" borderId="118" xfId="0" applyFont="1" applyFill="1" applyBorder="1" applyAlignment="1">
      <alignment horizontal="center" vertical="center" wrapText="1"/>
    </xf>
    <xf numFmtId="0" fontId="47"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3" fillId="0" borderId="0" xfId="61" applyNumberFormat="1" applyFont="1" applyFill="1" applyAlignment="1" applyProtection="1">
      <alignment vertical="center"/>
      <protection/>
    </xf>
    <xf numFmtId="204" fontId="34" fillId="0" borderId="0" xfId="61" applyNumberFormat="1" applyFont="1" applyFill="1" applyAlignment="1" applyProtection="1">
      <alignment vertical="center"/>
      <protection/>
    </xf>
    <xf numFmtId="179" fontId="49" fillId="0" borderId="0" xfId="61" applyFont="1" applyAlignment="1">
      <alignment horizontal="center" vertical="center" wrapText="1"/>
      <protection/>
    </xf>
    <xf numFmtId="0" fontId="49" fillId="0" borderId="0" xfId="61" applyNumberFormat="1" applyFont="1" applyAlignment="1">
      <alignment horizontal="center" vertical="center" wrapText="1"/>
      <protection/>
    </xf>
    <xf numFmtId="0" fontId="33"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3" fillId="0" borderId="0" xfId="61" applyFont="1" applyAlignment="1">
      <alignment vertical="center"/>
      <protection/>
    </xf>
    <xf numFmtId="179" fontId="51" fillId="0" borderId="0" xfId="61" applyFont="1" applyAlignment="1" applyProtection="1">
      <alignment vertical="center"/>
      <protection/>
    </xf>
    <xf numFmtId="179" fontId="51" fillId="0" borderId="0" xfId="61" applyFont="1" applyAlignment="1">
      <alignment vertical="center"/>
      <protection/>
    </xf>
    <xf numFmtId="3" fontId="9" fillId="0" borderId="120" xfId="0" applyNumberFormat="1" applyFont="1" applyBorder="1" applyAlignment="1">
      <alignment horizontal="center"/>
    </xf>
    <xf numFmtId="214" fontId="6" fillId="24" borderId="114"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4" xfId="63" applyNumberFormat="1" applyFont="1" applyFill="1" applyBorder="1">
      <alignment/>
      <protection/>
    </xf>
    <xf numFmtId="3" fontId="6" fillId="0" borderId="58" xfId="63" applyNumberFormat="1" applyFont="1" applyFill="1" applyBorder="1" applyProtection="1">
      <alignment/>
      <protection locked="0"/>
    </xf>
    <xf numFmtId="206" fontId="6" fillId="0" borderId="28" xfId="63" applyNumberFormat="1" applyFont="1" applyFill="1" applyBorder="1">
      <alignment/>
      <protection/>
    </xf>
    <xf numFmtId="3" fontId="6" fillId="0" borderId="87" xfId="63" applyNumberFormat="1" applyFont="1" applyFill="1" applyBorder="1" applyProtection="1">
      <alignment/>
      <protection locked="0"/>
    </xf>
    <xf numFmtId="206" fontId="6" fillId="0" borderId="124" xfId="63" applyNumberFormat="1" applyFont="1" applyFill="1" applyBorder="1" applyProtection="1">
      <alignment/>
      <protection/>
    </xf>
    <xf numFmtId="3" fontId="6" fillId="0" borderId="66" xfId="63" applyNumberFormat="1" applyFont="1" applyFill="1" applyBorder="1" applyProtection="1">
      <alignment/>
      <protection locked="0"/>
    </xf>
    <xf numFmtId="3" fontId="6" fillId="0" borderId="125"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206" fontId="6" fillId="24" borderId="124" xfId="67" applyNumberFormat="1" applyFont="1" applyFill="1" applyBorder="1" applyAlignment="1">
      <alignment/>
      <protection/>
    </xf>
    <xf numFmtId="206" fontId="6" fillId="24" borderId="126"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7" xfId="67" applyNumberFormat="1" applyFont="1" applyFill="1" applyBorder="1" applyAlignment="1">
      <alignment/>
      <protection/>
    </xf>
    <xf numFmtId="0" fontId="18" fillId="0" borderId="128" xfId="67" applyFont="1" applyFill="1" applyBorder="1" applyAlignment="1" applyProtection="1">
      <alignment horizontal="centerContinuous" vertical="center" wrapText="1"/>
      <protection/>
    </xf>
    <xf numFmtId="0" fontId="18" fillId="0" borderId="129" xfId="67" applyFont="1" applyFill="1" applyBorder="1" applyAlignment="1" applyProtection="1">
      <alignment horizontal="centerContinuous" vertical="center" wrapText="1"/>
      <protection/>
    </xf>
    <xf numFmtId="206" fontId="6" fillId="24" borderId="130" xfId="67" applyNumberFormat="1" applyFont="1" applyFill="1" applyBorder="1" applyAlignment="1">
      <alignment/>
      <protection/>
    </xf>
    <xf numFmtId="206" fontId="0" fillId="0" borderId="131" xfId="0" applyNumberFormat="1" applyBorder="1" applyAlignment="1">
      <alignment/>
    </xf>
    <xf numFmtId="206" fontId="6" fillId="0" borderId="109" xfId="63" applyNumberFormat="1" applyFont="1" applyFill="1" applyBorder="1" applyProtection="1">
      <alignment/>
      <protection/>
    </xf>
    <xf numFmtId="206" fontId="6" fillId="24" borderId="114" xfId="64" applyNumberFormat="1" applyFont="1" applyFill="1" applyBorder="1" applyAlignment="1">
      <alignment/>
      <protection/>
    </xf>
    <xf numFmtId="206" fontId="6" fillId="24" borderId="81" xfId="68" applyNumberFormat="1" applyFont="1" applyFill="1" applyBorder="1">
      <alignment/>
      <protection/>
    </xf>
    <xf numFmtId="0" fontId="19" fillId="0" borderId="98" xfId="68" applyFont="1" applyFill="1" applyBorder="1" applyAlignment="1" applyProtection="1">
      <alignment horizontal="center"/>
      <protection/>
    </xf>
    <xf numFmtId="206" fontId="6" fillId="24" borderId="77" xfId="68" applyNumberFormat="1" applyFont="1" applyFill="1" applyBorder="1">
      <alignment/>
      <protection/>
    </xf>
    <xf numFmtId="179" fontId="13" fillId="0" borderId="0" xfId="61" applyFont="1" applyFill="1" applyBorder="1" applyAlignment="1" applyProtection="1">
      <alignment vertical="center"/>
      <protection locked="0"/>
    </xf>
    <xf numFmtId="179" fontId="43"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3" fillId="0" borderId="0" xfId="61" applyBorder="1" applyAlignment="1">
      <alignment vertical="center"/>
      <protection/>
    </xf>
    <xf numFmtId="179" fontId="33"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9"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2" xfId="0" applyNumberFormat="1" applyBorder="1" applyAlignment="1" applyProtection="1">
      <alignment/>
      <protection locked="0"/>
    </xf>
    <xf numFmtId="3" fontId="0" fillId="0" borderId="69"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6" xfId="61" applyNumberFormat="1" applyFont="1" applyFill="1" applyBorder="1" applyAlignment="1" applyProtection="1">
      <alignment vertical="center"/>
      <protection locked="0"/>
    </xf>
    <xf numFmtId="179" fontId="33" fillId="0" borderId="0" xfId="61" applyBorder="1" applyAlignment="1" applyProtection="1">
      <alignment vertical="center"/>
      <protection/>
    </xf>
    <xf numFmtId="3" fontId="6" fillId="0" borderId="79" xfId="64" applyNumberFormat="1" applyFont="1" applyFill="1" applyBorder="1" applyProtection="1">
      <alignment/>
      <protection locked="0"/>
    </xf>
    <xf numFmtId="3" fontId="0" fillId="0" borderId="87" xfId="0" applyNumberFormat="1" applyBorder="1" applyAlignment="1" applyProtection="1">
      <alignment/>
      <protection locked="0"/>
    </xf>
    <xf numFmtId="3" fontId="6" fillId="0" borderId="48" xfId="64" applyNumberFormat="1" applyFont="1" applyFill="1" applyBorder="1" applyProtection="1">
      <alignment/>
      <protection locked="0"/>
    </xf>
    <xf numFmtId="3" fontId="0" fillId="0" borderId="81" xfId="0" applyNumberFormat="1" applyBorder="1" applyAlignment="1" applyProtection="1">
      <alignment/>
      <protection locked="0"/>
    </xf>
    <xf numFmtId="206" fontId="0" fillId="0" borderId="107" xfId="0" applyNumberFormat="1" applyBorder="1" applyAlignment="1">
      <alignment/>
    </xf>
    <xf numFmtId="0" fontId="24"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72" fillId="0" borderId="36" xfId="0" applyFont="1" applyFill="1" applyBorder="1" applyAlignment="1" applyProtection="1">
      <alignment horizontal="center" vertical="center" wrapText="1"/>
      <protection/>
    </xf>
    <xf numFmtId="213" fontId="6" fillId="0" borderId="36" xfId="0" applyNumberFormat="1" applyFont="1" applyFill="1" applyBorder="1" applyAlignment="1" applyProtection="1">
      <alignment horizontal="center"/>
      <protection/>
    </xf>
    <xf numFmtId="213" fontId="6" fillId="0" borderId="36" xfId="47" applyNumberFormat="1" applyFont="1" applyBorder="1" applyAlignment="1">
      <alignment/>
    </xf>
    <xf numFmtId="212" fontId="6" fillId="0" borderId="36" xfId="0" applyNumberFormat="1" applyFont="1" applyBorder="1" applyAlignment="1">
      <alignment/>
    </xf>
    <xf numFmtId="212" fontId="9" fillId="0" borderId="36" xfId="0" applyNumberFormat="1" applyFont="1" applyBorder="1" applyAlignment="1">
      <alignment/>
    </xf>
    <xf numFmtId="212" fontId="73" fillId="0" borderId="36" xfId="0" applyNumberFormat="1" applyFont="1" applyBorder="1" applyAlignment="1">
      <alignment/>
    </xf>
    <xf numFmtId="0" fontId="18" fillId="0" borderId="132" xfId="68" applyFont="1" applyFill="1" applyBorder="1" applyAlignment="1" applyProtection="1">
      <alignment horizontal="centerContinuous" vertical="center"/>
      <protection/>
    </xf>
    <xf numFmtId="3" fontId="6" fillId="0" borderId="54" xfId="68" applyNumberFormat="1" applyFont="1" applyFill="1" applyBorder="1" applyProtection="1">
      <alignment/>
      <protection locked="0"/>
    </xf>
    <xf numFmtId="3" fontId="6" fillId="0" borderId="133" xfId="68" applyNumberFormat="1" applyFont="1" applyFill="1" applyBorder="1" applyProtection="1">
      <alignment/>
      <protection locked="0"/>
    </xf>
    <xf numFmtId="206" fontId="6" fillId="24" borderId="124" xfId="68" applyNumberFormat="1" applyFont="1" applyFill="1" applyBorder="1">
      <alignment/>
      <protection/>
    </xf>
    <xf numFmtId="0" fontId="18" fillId="0" borderId="134"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43" xfId="68" applyNumberFormat="1" applyFont="1" applyFill="1" applyBorder="1" applyProtection="1">
      <alignment/>
      <protection locked="0"/>
    </xf>
    <xf numFmtId="3" fontId="6" fillId="0" borderId="113" xfId="68" applyNumberFormat="1" applyFont="1" applyFill="1" applyBorder="1" applyProtection="1">
      <alignment/>
      <protection locked="0"/>
    </xf>
    <xf numFmtId="206" fontId="6" fillId="24" borderId="50" xfId="68" applyNumberFormat="1" applyFont="1" applyFill="1" applyBorder="1">
      <alignment/>
      <protection/>
    </xf>
    <xf numFmtId="3" fontId="6" fillId="0" borderId="135" xfId="68" applyNumberFormat="1" applyFont="1" applyFill="1" applyBorder="1" applyProtection="1">
      <alignment/>
      <protection locked="0"/>
    </xf>
    <xf numFmtId="0" fontId="19" fillId="0" borderId="136" xfId="68" applyFont="1" applyFill="1" applyBorder="1" applyAlignment="1" applyProtection="1">
      <alignment horizontal="center"/>
      <protection/>
    </xf>
    <xf numFmtId="206" fontId="6" fillId="24" borderId="127" xfId="68" applyNumberFormat="1" applyFont="1" applyFill="1" applyBorder="1">
      <alignment/>
      <protection/>
    </xf>
    <xf numFmtId="206" fontId="6" fillId="24" borderId="137"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3"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83"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7" xfId="0" applyFont="1" applyFill="1" applyBorder="1" applyAlignment="1" applyProtection="1">
      <alignment horizontal="center" vertical="center" wrapText="1"/>
      <protection/>
    </xf>
    <xf numFmtId="0" fontId="18" fillId="0" borderId="117" xfId="0" applyFont="1" applyFill="1" applyBorder="1" applyAlignment="1">
      <alignment horizontal="center" vertical="center" wrapText="1"/>
    </xf>
    <xf numFmtId="49" fontId="16" fillId="22" borderId="62" xfId="61" applyNumberFormat="1" applyFont="1" applyFill="1" applyBorder="1" applyAlignment="1" applyProtection="1">
      <alignment horizontal="left" vertical="center"/>
      <protection locked="0"/>
    </xf>
    <xf numFmtId="49" fontId="16" fillId="22" borderId="36" xfId="61" applyNumberFormat="1" applyFont="1" applyFill="1" applyBorder="1" applyAlignment="1" applyProtection="1">
      <alignment horizontal="left" vertical="center"/>
      <protection locked="0"/>
    </xf>
    <xf numFmtId="49" fontId="16" fillId="22" borderId="51" xfId="59" applyNumberFormat="1" applyFont="1" applyFill="1" applyBorder="1" applyAlignment="1" applyProtection="1">
      <alignment horizontal="left" vertical="center"/>
      <protection locked="0"/>
    </xf>
    <xf numFmtId="49" fontId="16" fillId="22" borderId="62" xfId="0" applyNumberFormat="1" applyFont="1" applyFill="1" applyBorder="1" applyAlignment="1" applyProtection="1">
      <alignment horizontal="left" vertical="center"/>
      <protection locked="0"/>
    </xf>
    <xf numFmtId="49" fontId="16" fillId="22" borderId="36" xfId="59" applyNumberFormat="1" applyFont="1" applyFill="1" applyBorder="1" applyAlignment="1" applyProtection="1">
      <alignment horizontal="left" vertical="center"/>
      <protection locked="0"/>
    </xf>
    <xf numFmtId="49" fontId="11" fillId="22" borderId="59" xfId="36" applyNumberFormat="1" applyFill="1" applyBorder="1" applyAlignment="1" applyProtection="1">
      <alignment horizontal="left" vertical="center"/>
      <protection locked="0"/>
    </xf>
    <xf numFmtId="49" fontId="16" fillId="22" borderId="36" xfId="0" applyNumberFormat="1" applyFont="1" applyFill="1" applyBorder="1" applyAlignment="1" applyProtection="1">
      <alignment horizontal="left"/>
      <protection locked="0"/>
    </xf>
    <xf numFmtId="0" fontId="6" fillId="0" borderId="108"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45" xfId="0" applyFont="1" applyFill="1" applyBorder="1" applyAlignment="1">
      <alignment horizontal="centerContinuous" vertical="center" wrapText="1"/>
    </xf>
    <xf numFmtId="0" fontId="30" fillId="0" borderId="36" xfId="0" applyFont="1" applyBorder="1" applyAlignment="1">
      <alignment/>
    </xf>
    <xf numFmtId="0" fontId="108" fillId="0" borderId="36" xfId="0" applyFont="1" applyBorder="1" applyAlignment="1">
      <alignment/>
    </xf>
    <xf numFmtId="0" fontId="22" fillId="0" borderId="49" xfId="0" applyFont="1" applyBorder="1" applyAlignment="1">
      <alignment/>
    </xf>
    <xf numFmtId="0" fontId="14" fillId="0" borderId="96"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22" fillId="0" borderId="143" xfId="0" applyFont="1" applyBorder="1" applyAlignment="1">
      <alignment/>
    </xf>
    <xf numFmtId="0" fontId="6" fillId="0" borderId="56" xfId="0" applyFont="1" applyBorder="1" applyAlignment="1">
      <alignment horizontal="center"/>
    </xf>
    <xf numFmtId="0" fontId="6" fillId="0" borderId="40"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60"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4"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69" fillId="0" borderId="0" xfId="61" applyFont="1" applyFill="1" applyAlignment="1" applyProtection="1">
      <alignment horizontal="left" vertical="center"/>
      <protection/>
    </xf>
    <xf numFmtId="179" fontId="69" fillId="0" borderId="0" xfId="61" applyFont="1" applyAlignment="1" applyProtection="1">
      <alignment horizontal="right" vertical="center"/>
      <protection/>
    </xf>
    <xf numFmtId="179" fontId="69" fillId="0" borderId="0" xfId="61" applyFont="1" applyFill="1" applyBorder="1" applyAlignment="1" applyProtection="1">
      <alignment horizontal="right" vertical="center"/>
      <protection/>
    </xf>
    <xf numFmtId="179" fontId="69" fillId="0" borderId="0" xfId="61" applyFont="1" applyFill="1" applyBorder="1" applyAlignment="1" applyProtection="1">
      <alignment vertical="center"/>
      <protection/>
    </xf>
    <xf numFmtId="1" fontId="16" fillId="16" borderId="36" xfId="61" applyNumberFormat="1" applyFont="1" applyFill="1" applyBorder="1" applyAlignment="1" applyProtection="1">
      <alignment vertical="center"/>
      <protection/>
    </xf>
    <xf numFmtId="179" fontId="50" fillId="0" borderId="78" xfId="61" applyFont="1" applyBorder="1" applyAlignment="1" applyProtection="1">
      <alignment vertical="center" wrapText="1"/>
      <protection/>
    </xf>
    <xf numFmtId="179" fontId="77" fillId="0" borderId="78" xfId="61" applyFont="1" applyBorder="1" applyAlignment="1" applyProtection="1">
      <alignment vertical="center" wrapText="1"/>
      <protection/>
    </xf>
    <xf numFmtId="0" fontId="14" fillId="0" borderId="145" xfId="0" applyFont="1" applyBorder="1" applyAlignment="1">
      <alignment horizontal="center" vertical="center" wrapText="1"/>
    </xf>
    <xf numFmtId="0" fontId="9" fillId="0" borderId="70" xfId="0" applyFont="1" applyBorder="1" applyAlignment="1">
      <alignment horizontal="center" wrapText="1"/>
    </xf>
    <xf numFmtId="0" fontId="9" fillId="0" borderId="106" xfId="0" applyFont="1" applyBorder="1" applyAlignment="1">
      <alignment horizontal="center" wrapText="1"/>
    </xf>
    <xf numFmtId="0" fontId="9" fillId="0" borderId="146" xfId="0" applyFont="1" applyBorder="1" applyAlignment="1">
      <alignment horizontal="center" wrapText="1"/>
    </xf>
    <xf numFmtId="179" fontId="77" fillId="0" borderId="132" xfId="61" applyFont="1" applyBorder="1" applyAlignment="1" applyProtection="1">
      <alignment vertical="center" wrapText="1"/>
      <protection/>
    </xf>
    <xf numFmtId="3" fontId="6" fillId="0" borderId="87"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101" xfId="64" applyNumberFormat="1" applyFont="1" applyFill="1" applyBorder="1" applyAlignment="1" applyProtection="1">
      <alignment/>
      <protection locked="0"/>
    </xf>
    <xf numFmtId="3" fontId="6" fillId="0" borderId="100"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2" xfId="64" applyNumberFormat="1" applyFont="1" applyFill="1" applyBorder="1" applyAlignment="1" applyProtection="1">
      <alignment/>
      <protection locked="0"/>
    </xf>
    <xf numFmtId="3" fontId="6" fillId="0" borderId="87" xfId="0" applyNumberFormat="1" applyFont="1" applyBorder="1" applyAlignment="1" applyProtection="1">
      <alignment/>
      <protection locked="0"/>
    </xf>
    <xf numFmtId="3" fontId="6" fillId="0" borderId="79" xfId="0" applyNumberFormat="1" applyFont="1" applyFill="1" applyBorder="1" applyAlignment="1" applyProtection="1">
      <alignment/>
      <protection locked="0"/>
    </xf>
    <xf numFmtId="3" fontId="6" fillId="0" borderId="66"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6" xfId="0" applyNumberFormat="1" applyFont="1" applyBorder="1" applyAlignment="1">
      <alignment horizontal="center"/>
    </xf>
    <xf numFmtId="3" fontId="6" fillId="0" borderId="36" xfId="47" applyNumberFormat="1" applyFont="1" applyBorder="1" applyAlignment="1">
      <alignment/>
    </xf>
    <xf numFmtId="0" fontId="109"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6" xfId="0" applyFont="1" applyFill="1" applyBorder="1" applyAlignment="1" applyProtection="1">
      <alignment horizontal="left"/>
      <protection/>
    </xf>
    <xf numFmtId="3" fontId="6" fillId="0" borderId="87" xfId="64" applyNumberFormat="1" applyFont="1" applyFill="1" applyBorder="1" applyAlignment="1" applyProtection="1">
      <alignment/>
      <protection locked="0"/>
    </xf>
    <xf numFmtId="0" fontId="18" fillId="0" borderId="26" xfId="0" applyFont="1" applyFill="1" applyBorder="1" applyAlignment="1" applyProtection="1">
      <alignment horizontal="center" vertical="center" wrapText="1"/>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8" xfId="0" applyFont="1" applyFill="1" applyBorder="1" applyAlignment="1">
      <alignment/>
    </xf>
    <xf numFmtId="0" fontId="6" fillId="25" borderId="37" xfId="0" applyFont="1" applyFill="1" applyBorder="1" applyAlignment="1">
      <alignment/>
    </xf>
    <xf numFmtId="0" fontId="9" fillId="25" borderId="147" xfId="0" applyFont="1" applyFill="1" applyBorder="1" applyAlignment="1">
      <alignment horizontal="centerContinuous" vertical="center" wrapText="1"/>
    </xf>
    <xf numFmtId="0" fontId="9" fillId="25" borderId="45"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1" xfId="0" applyFont="1" applyFill="1" applyBorder="1" applyAlignment="1" applyProtection="1">
      <alignment horizontal="center"/>
      <protection/>
    </xf>
    <xf numFmtId="0" fontId="110" fillId="0" borderId="0" xfId="0" applyFont="1" applyAlignment="1">
      <alignment horizontal="center" vertical="center"/>
    </xf>
    <xf numFmtId="206" fontId="6" fillId="25" borderId="121" xfId="0" applyNumberFormat="1" applyFont="1" applyFill="1" applyBorder="1" applyAlignment="1">
      <alignment/>
    </xf>
    <xf numFmtId="206" fontId="6" fillId="25" borderId="123" xfId="0" applyNumberFormat="1" applyFont="1" applyFill="1" applyBorder="1" applyAlignment="1">
      <alignment/>
    </xf>
    <xf numFmtId="206" fontId="6" fillId="25" borderId="49" xfId="0" applyNumberFormat="1" applyFont="1" applyFill="1" applyBorder="1" applyAlignment="1">
      <alignment/>
    </xf>
    <xf numFmtId="206" fontId="6" fillId="25" borderId="70" xfId="0" applyNumberFormat="1" applyFont="1" applyFill="1" applyBorder="1" applyAlignment="1">
      <alignment/>
    </xf>
    <xf numFmtId="206" fontId="6" fillId="25" borderId="143" xfId="0" applyNumberFormat="1" applyFont="1" applyFill="1" applyBorder="1" applyAlignment="1">
      <alignment/>
    </xf>
    <xf numFmtId="206" fontId="6" fillId="25" borderId="106" xfId="0" applyNumberFormat="1" applyFont="1" applyFill="1" applyBorder="1" applyAlignment="1">
      <alignment/>
    </xf>
    <xf numFmtId="206" fontId="6" fillId="25" borderId="72" xfId="0" applyNumberFormat="1" applyFont="1" applyFill="1" applyBorder="1" applyAlignment="1" applyProtection="1">
      <alignment/>
      <protection/>
    </xf>
    <xf numFmtId="206" fontId="6" fillId="25" borderId="74" xfId="0" applyNumberFormat="1" applyFont="1" applyFill="1" applyBorder="1" applyAlignment="1" applyProtection="1">
      <alignment/>
      <protection/>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8" xfId="61" applyFont="1" applyBorder="1" applyAlignment="1" applyProtection="1">
      <alignment vertical="center"/>
      <protection/>
    </xf>
    <xf numFmtId="179" fontId="6" fillId="0" borderId="0" xfId="61" applyFont="1" applyAlignment="1" applyProtection="1">
      <alignment horizontal="left" vertical="center"/>
      <protection/>
    </xf>
    <xf numFmtId="49" fontId="16" fillId="0" borderId="36" xfId="61"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36"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21" fillId="0" borderId="0" xfId="0" applyFont="1" applyAlignment="1">
      <alignment wrapText="1"/>
    </xf>
    <xf numFmtId="0" fontId="16" fillId="0" borderId="121"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6" fillId="0" borderId="6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51" xfId="0" applyNumberFormat="1" applyFont="1" applyFill="1" applyBorder="1" applyAlignment="1">
      <alignment horizontal="center" vertical="center"/>
    </xf>
    <xf numFmtId="3" fontId="6" fillId="0" borderId="51" xfId="0" applyNumberFormat="1" applyFont="1" applyBorder="1" applyAlignment="1">
      <alignment horizontal="center" vertical="center"/>
    </xf>
    <xf numFmtId="0" fontId="6" fillId="0" borderId="60" xfId="0" applyFont="1" applyFill="1" applyBorder="1" applyAlignment="1" applyProtection="1">
      <alignment horizontal="left" vertical="center" wrapText="1"/>
      <protection/>
    </xf>
    <xf numFmtId="3" fontId="6" fillId="0" borderId="52"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72" xfId="0" applyFont="1" applyFill="1" applyBorder="1" applyAlignment="1" applyProtection="1">
      <alignment horizontal="center" vertical="center"/>
      <protection/>
    </xf>
    <xf numFmtId="0" fontId="9" fillId="26" borderId="73" xfId="0" applyFont="1" applyFill="1" applyBorder="1" applyAlignment="1" applyProtection="1">
      <alignment horizontal="center" vertical="center" wrapText="1"/>
      <protection/>
    </xf>
    <xf numFmtId="0" fontId="9" fillId="26" borderId="74"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6"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6"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3" fontId="16"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71" xfId="0" applyNumberFormat="1" applyFont="1" applyFill="1" applyBorder="1" applyAlignment="1" applyProtection="1">
      <alignment/>
      <protection locked="0"/>
    </xf>
    <xf numFmtId="0" fontId="21" fillId="0" borderId="72" xfId="0" applyFont="1" applyFill="1" applyBorder="1" applyAlignment="1" applyProtection="1">
      <alignment horizontal="center" vertical="center" wrapText="1"/>
      <protection/>
    </xf>
    <xf numFmtId="3" fontId="21" fillId="0" borderId="73" xfId="0" applyNumberFormat="1" applyFont="1" applyFill="1" applyBorder="1" applyAlignment="1" applyProtection="1">
      <alignment vertical="center"/>
      <protection/>
    </xf>
    <xf numFmtId="0" fontId="13" fillId="26" borderId="74"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3"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4"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1" fillId="0" borderId="0" xfId="0" applyFont="1" applyAlignment="1">
      <alignment/>
    </xf>
    <xf numFmtId="0" fontId="47" fillId="0" borderId="0" xfId="0" applyFont="1" applyAlignment="1">
      <alignment horizontal="center" vertical="center" wrapText="1"/>
    </xf>
    <xf numFmtId="0" fontId="6" fillId="0" borderId="12"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92" xfId="64" applyNumberFormat="1" applyFont="1" applyFill="1" applyBorder="1" applyAlignment="1" applyProtection="1">
      <alignment/>
      <protection locked="0"/>
    </xf>
    <xf numFmtId="206" fontId="6" fillId="24" borderId="114" xfId="64" applyNumberFormat="1" applyFont="1" applyFill="1" applyBorder="1" applyAlignment="1">
      <alignment/>
      <protection/>
    </xf>
    <xf numFmtId="206" fontId="6" fillId="24" borderId="108" xfId="64" applyNumberFormat="1" applyFont="1" applyFill="1" applyBorder="1" applyAlignment="1">
      <alignment/>
      <protection/>
    </xf>
    <xf numFmtId="0" fontId="6" fillId="0" borderId="39"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3" fontId="6" fillId="0" borderId="36" xfId="0" applyNumberFormat="1" applyFont="1" applyFill="1" applyBorder="1" applyAlignment="1">
      <alignment horizontal="center"/>
    </xf>
    <xf numFmtId="0" fontId="47" fillId="0" borderId="0" xfId="0" applyFont="1" applyAlignment="1">
      <alignment horizontal="center"/>
    </xf>
    <xf numFmtId="40" fontId="6" fillId="24" borderId="36" xfId="47" applyFont="1" applyFill="1" applyBorder="1" applyAlignment="1">
      <alignment horizontal="center"/>
    </xf>
    <xf numFmtId="40" fontId="6" fillId="24" borderId="52"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6" xfId="61" applyNumberFormat="1" applyFont="1" applyBorder="1" applyAlignment="1" applyProtection="1">
      <alignment horizontal="left" vertical="center"/>
      <protection locked="0"/>
    </xf>
    <xf numFmtId="49" fontId="82" fillId="0" borderId="59" xfId="36" applyNumberFormat="1" applyFont="1" applyBorder="1" applyAlignment="1" applyProtection="1">
      <alignment horizontal="left" vertical="center"/>
      <protection locked="0"/>
    </xf>
    <xf numFmtId="49" fontId="16" fillId="0" borderId="36" xfId="0" applyNumberFormat="1" applyFont="1" applyBorder="1" applyAlignment="1" applyProtection="1">
      <alignment horizontal="left"/>
      <protection locked="0"/>
    </xf>
    <xf numFmtId="0" fontId="14" fillId="0" borderId="148"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14" fillId="27" borderId="149" xfId="0" applyFont="1" applyFill="1" applyBorder="1" applyAlignment="1" applyProtection="1">
      <alignment horizontal="center" vertical="center"/>
      <protection/>
    </xf>
    <xf numFmtId="0" fontId="6" fillId="27" borderId="35" xfId="63" applyFont="1" applyFill="1" applyBorder="1" applyAlignment="1">
      <alignment horizontal="center"/>
      <protection/>
    </xf>
    <xf numFmtId="0" fontId="6" fillId="27" borderId="35" xfId="64" applyFont="1" applyFill="1" applyBorder="1" applyAlignment="1">
      <alignment horizontal="center"/>
      <protection/>
    </xf>
    <xf numFmtId="0" fontId="6" fillId="27" borderId="35" xfId="65" applyFont="1" applyFill="1" applyBorder="1" applyAlignment="1">
      <alignment horizontal="center"/>
      <protection/>
    </xf>
    <xf numFmtId="0" fontId="6" fillId="27" borderId="35" xfId="66" applyFont="1" applyFill="1" applyBorder="1" applyAlignment="1">
      <alignment horizontal="center"/>
      <protection/>
    </xf>
    <xf numFmtId="0" fontId="9" fillId="27" borderId="35" xfId="67" applyFont="1" applyFill="1" applyBorder="1" applyAlignment="1" applyProtection="1">
      <alignment horizontal="center" vertical="center"/>
      <protection/>
    </xf>
    <xf numFmtId="0" fontId="19" fillId="27" borderId="35" xfId="0" applyFont="1" applyFill="1" applyBorder="1" applyAlignment="1" applyProtection="1">
      <alignment horizontal="center"/>
      <protection/>
    </xf>
    <xf numFmtId="0" fontId="19" fillId="27" borderId="35" xfId="68" applyFont="1" applyFill="1" applyBorder="1" applyAlignment="1">
      <alignment horizontal="center"/>
      <protection/>
    </xf>
    <xf numFmtId="0" fontId="19" fillId="27" borderId="97" xfId="0" applyFont="1" applyFill="1" applyBorder="1" applyAlignment="1">
      <alignment horizontal="center"/>
    </xf>
    <xf numFmtId="0" fontId="14" fillId="27" borderId="97"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98" xfId="0" applyFont="1" applyFill="1" applyBorder="1" applyAlignment="1">
      <alignment horizontal="center" vertical="center"/>
    </xf>
    <xf numFmtId="0" fontId="112" fillId="0" borderId="0" xfId="0" applyFont="1" applyAlignment="1">
      <alignment/>
    </xf>
    <xf numFmtId="206" fontId="112" fillId="0" borderId="0" xfId="0" applyNumberFormat="1" applyFont="1" applyAlignment="1">
      <alignment/>
    </xf>
    <xf numFmtId="206" fontId="6" fillId="24" borderId="64" xfId="0" applyNumberFormat="1" applyFont="1" applyFill="1" applyBorder="1" applyAlignment="1" applyProtection="1">
      <alignment/>
      <protection locked="0"/>
    </xf>
    <xf numFmtId="206" fontId="6" fillId="24" borderId="48"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48" xfId="0" applyNumberFormat="1" applyFont="1" applyFill="1" applyBorder="1" applyAlignment="1" applyProtection="1">
      <alignment/>
      <protection locked="0"/>
    </xf>
    <xf numFmtId="206" fontId="6" fillId="0" borderId="87" xfId="68" applyNumberFormat="1" applyFont="1" applyFill="1" applyBorder="1" applyProtection="1">
      <alignment/>
      <protection locked="0"/>
    </xf>
    <xf numFmtId="206" fontId="6" fillId="0" borderId="79" xfId="68" applyNumberFormat="1" applyFont="1" applyFill="1" applyBorder="1" applyProtection="1">
      <alignment/>
      <protection locked="0"/>
    </xf>
    <xf numFmtId="206" fontId="6" fillId="0" borderId="135" xfId="68" applyNumberFormat="1" applyFont="1" applyFill="1" applyBorder="1" applyProtection="1">
      <alignment/>
      <protection locked="0"/>
    </xf>
    <xf numFmtId="206" fontId="6" fillId="0" borderId="43" xfId="68" applyNumberFormat="1" applyFont="1" applyFill="1" applyBorder="1" applyProtection="1">
      <alignment/>
      <protection locked="0"/>
    </xf>
    <xf numFmtId="206" fontId="6" fillId="0" borderId="54" xfId="68" applyNumberFormat="1" applyFont="1" applyFill="1" applyBorder="1" applyProtection="1">
      <alignment/>
      <protection locked="0"/>
    </xf>
    <xf numFmtId="206" fontId="6" fillId="0" borderId="81" xfId="68" applyNumberFormat="1" applyFont="1" applyFill="1" applyBorder="1" applyProtection="1">
      <alignment/>
      <protection locked="0"/>
    </xf>
    <xf numFmtId="206" fontId="6" fillId="0" borderId="77" xfId="68" applyNumberFormat="1" applyFont="1" applyFill="1" applyBorder="1" applyProtection="1">
      <alignment/>
      <protection locked="0"/>
    </xf>
    <xf numFmtId="206" fontId="6" fillId="0" borderId="113" xfId="68" applyNumberFormat="1" applyFont="1" applyFill="1" applyBorder="1" applyProtection="1">
      <alignment/>
      <protection locked="0"/>
    </xf>
    <xf numFmtId="206" fontId="6" fillId="0" borderId="133" xfId="68" applyNumberFormat="1" applyFont="1" applyFill="1" applyBorder="1" applyProtection="1">
      <alignment/>
      <protection locked="0"/>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0" fontId="9" fillId="0" borderId="103" xfId="0" applyFont="1" applyFill="1" applyBorder="1" applyAlignment="1" applyProtection="1">
      <alignment horizontal="center" vertical="center"/>
      <protection/>
    </xf>
    <xf numFmtId="206" fontId="16" fillId="0" borderId="78" xfId="0" applyNumberFormat="1" applyFont="1" applyFill="1" applyBorder="1" applyAlignment="1" applyProtection="1">
      <alignment horizontal="center"/>
      <protection/>
    </xf>
    <xf numFmtId="206" fontId="16" fillId="0" borderId="0" xfId="0" applyNumberFormat="1" applyFont="1" applyFill="1" applyBorder="1" applyAlignment="1" applyProtection="1">
      <alignment horizontal="center"/>
      <protection/>
    </xf>
    <xf numFmtId="206" fontId="16" fillId="0" borderId="132" xfId="0" applyNumberFormat="1" applyFont="1" applyFill="1" applyBorder="1" applyAlignment="1" applyProtection="1">
      <alignment horizontal="center"/>
      <protection/>
    </xf>
    <xf numFmtId="206" fontId="16" fillId="0" borderId="78" xfId="0" applyNumberFormat="1" applyFont="1" applyFill="1" applyBorder="1" applyAlignment="1" applyProtection="1">
      <alignment horizontal="center"/>
      <protection/>
    </xf>
    <xf numFmtId="206" fontId="16" fillId="0" borderId="62" xfId="0" applyNumberFormat="1" applyFont="1" applyFill="1" applyBorder="1" applyAlignment="1" applyProtection="1">
      <alignment horizontal="center"/>
      <protection/>
    </xf>
    <xf numFmtId="206" fontId="16" fillId="0" borderId="58" xfId="0" applyNumberFormat="1" applyFont="1" applyFill="1" applyBorder="1" applyAlignment="1" applyProtection="1">
      <alignment horizontal="center"/>
      <protection/>
    </xf>
    <xf numFmtId="206" fontId="16" fillId="0" borderId="133" xfId="0" applyNumberFormat="1" applyFont="1" applyFill="1" applyBorder="1" applyAlignment="1" applyProtection="1">
      <alignment horizontal="center"/>
      <protection/>
    </xf>
    <xf numFmtId="206" fontId="16" fillId="0" borderId="150" xfId="0" applyNumberFormat="1" applyFont="1" applyFill="1" applyBorder="1" applyAlignment="1" applyProtection="1">
      <alignment horizontal="center"/>
      <protection/>
    </xf>
    <xf numFmtId="206" fontId="6" fillId="0" borderId="66"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0" fontId="10" fillId="0" borderId="0" xfId="0" applyFont="1" applyBorder="1" applyAlignment="1" applyProtection="1">
      <alignment vertical="top"/>
      <protection/>
    </xf>
    <xf numFmtId="0" fontId="5" fillId="0" borderId="0" xfId="0" applyFont="1" applyAlignment="1">
      <alignment wrapText="1"/>
    </xf>
    <xf numFmtId="0" fontId="83" fillId="0" borderId="0" xfId="0" applyFont="1" applyAlignment="1">
      <alignment/>
    </xf>
    <xf numFmtId="0" fontId="7" fillId="0" borderId="49" xfId="0" applyFont="1" applyFill="1" applyBorder="1" applyAlignment="1" applyProtection="1">
      <alignment horizontal="left"/>
      <protection/>
    </xf>
    <xf numFmtId="40" fontId="6" fillId="24" borderId="122" xfId="47" applyFont="1" applyFill="1" applyBorder="1" applyAlignment="1">
      <alignment horizontal="center"/>
    </xf>
    <xf numFmtId="3" fontId="6" fillId="24" borderId="122" xfId="0" applyNumberFormat="1" applyFont="1" applyFill="1" applyBorder="1" applyAlignment="1">
      <alignment horizontal="center"/>
    </xf>
    <xf numFmtId="0" fontId="9" fillId="0" borderId="151" xfId="0" applyFont="1" applyFill="1" applyBorder="1" applyAlignment="1" applyProtection="1">
      <alignment horizontal="center"/>
      <protection/>
    </xf>
    <xf numFmtId="3" fontId="9" fillId="0" borderId="145" xfId="0" applyNumberFormat="1" applyFont="1" applyBorder="1" applyAlignment="1">
      <alignment horizontal="center"/>
    </xf>
    <xf numFmtId="0" fontId="9" fillId="0" borderId="62" xfId="0" applyFont="1" applyFill="1" applyBorder="1" applyAlignment="1" applyProtection="1">
      <alignment horizontal="center"/>
      <protection/>
    </xf>
    <xf numFmtId="3" fontId="9" fillId="0" borderId="61"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1" xfId="0" applyFont="1" applyBorder="1" applyAlignment="1">
      <alignment horizontal="left" wrapText="1"/>
    </xf>
    <xf numFmtId="0" fontId="5" fillId="0" borderId="116" xfId="0" applyFont="1" applyBorder="1" applyAlignment="1">
      <alignment vertical="top" wrapText="1"/>
    </xf>
    <xf numFmtId="0" fontId="6" fillId="0" borderId="116" xfId="0" applyFont="1" applyBorder="1" applyAlignment="1">
      <alignment/>
    </xf>
    <xf numFmtId="0" fontId="5" fillId="0" borderId="116" xfId="0" applyFont="1" applyBorder="1" applyAlignment="1">
      <alignment/>
    </xf>
    <xf numFmtId="0" fontId="5" fillId="0" borderId="116" xfId="0" applyFont="1" applyBorder="1" applyAlignment="1">
      <alignment vertical="top"/>
    </xf>
    <xf numFmtId="0" fontId="9" fillId="0" borderId="123" xfId="0" applyFont="1" applyFill="1" applyBorder="1" applyAlignment="1" applyProtection="1">
      <alignment horizontal="center" vertical="center" wrapText="1"/>
      <protection/>
    </xf>
    <xf numFmtId="0" fontId="9" fillId="0" borderId="70" xfId="0" applyFont="1" applyFill="1" applyBorder="1" applyAlignment="1" applyProtection="1">
      <alignment horizontal="center" vertical="center" wrapText="1"/>
      <protection/>
    </xf>
    <xf numFmtId="0" fontId="9" fillId="0" borderId="146" xfId="0" applyFont="1" applyFill="1" applyBorder="1" applyAlignment="1" applyProtection="1">
      <alignment horizontal="center" vertical="center" wrapText="1"/>
      <protection/>
    </xf>
    <xf numFmtId="0" fontId="9" fillId="0" borderId="91" xfId="0" applyFont="1" applyBorder="1" applyAlignment="1">
      <alignment horizontal="center" vertical="center" wrapText="1"/>
    </xf>
    <xf numFmtId="0" fontId="9" fillId="0" borderId="146" xfId="0" applyFont="1" applyBorder="1" applyAlignment="1">
      <alignment horizontal="center" vertical="center" wrapText="1"/>
    </xf>
    <xf numFmtId="38" fontId="6" fillId="0" borderId="36" xfId="47" applyNumberFormat="1" applyFont="1" applyBorder="1" applyAlignment="1">
      <alignment/>
    </xf>
    <xf numFmtId="179" fontId="113" fillId="0" borderId="0" xfId="61" applyFont="1" applyAlignment="1" applyProtection="1">
      <alignment vertical="center"/>
      <protection/>
    </xf>
    <xf numFmtId="0" fontId="114" fillId="0" borderId="0" xfId="0" applyFont="1" applyAlignment="1">
      <alignment/>
    </xf>
    <xf numFmtId="179" fontId="115" fillId="0" borderId="0" xfId="61" applyFont="1" applyAlignment="1" applyProtection="1">
      <alignment vertical="center"/>
      <protection/>
    </xf>
    <xf numFmtId="179" fontId="113" fillId="0" borderId="0" xfId="61" applyFont="1" applyAlignment="1">
      <alignment vertical="center"/>
      <protection/>
    </xf>
    <xf numFmtId="179" fontId="113" fillId="0" borderId="0" xfId="61" applyFont="1" applyAlignment="1">
      <alignment horizontal="center" vertical="center"/>
      <protection/>
    </xf>
    <xf numFmtId="3" fontId="16" fillId="0" borderId="56" xfId="0" applyNumberFormat="1" applyFont="1" applyFill="1" applyBorder="1" applyAlignment="1" applyProtection="1">
      <alignment/>
      <protection locked="0"/>
    </xf>
    <xf numFmtId="0" fontId="16" fillId="0" borderId="152"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41" xfId="0" applyNumberFormat="1" applyFont="1" applyFill="1" applyBorder="1" applyAlignment="1" applyProtection="1">
      <alignment/>
      <protection locked="0"/>
    </xf>
    <xf numFmtId="3" fontId="16" fillId="0" borderId="153" xfId="0" applyNumberFormat="1" applyFont="1" applyFill="1" applyBorder="1" applyAlignment="1" applyProtection="1">
      <alignment/>
      <protection locked="0"/>
    </xf>
    <xf numFmtId="0" fontId="16" fillId="0" borderId="154" xfId="0" applyNumberFormat="1" applyFont="1" applyFill="1" applyBorder="1" applyAlignment="1" applyProtection="1">
      <alignment/>
      <protection locked="0"/>
    </xf>
    <xf numFmtId="0" fontId="9" fillId="26" borderId="155" xfId="0" applyFont="1" applyFill="1" applyBorder="1" applyAlignment="1" applyProtection="1">
      <alignment horizontal="center" vertical="center" wrapText="1"/>
      <protection/>
    </xf>
    <xf numFmtId="0" fontId="9" fillId="26" borderId="152"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1" xfId="0" applyFont="1" applyFill="1" applyBorder="1" applyAlignment="1" applyProtection="1">
      <alignment horizontal="center" vertical="center" wrapText="1"/>
      <protection/>
    </xf>
    <xf numFmtId="0" fontId="9" fillId="26" borderId="58"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62" xfId="0" applyFont="1" applyFill="1" applyBorder="1" applyAlignment="1" applyProtection="1">
      <alignment horizontal="center" vertical="center" wrapText="1"/>
      <protection/>
    </xf>
    <xf numFmtId="0" fontId="9" fillId="26" borderId="69"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Continuous" vertical="center" wrapText="1"/>
      <protection/>
    </xf>
    <xf numFmtId="0" fontId="6" fillId="0" borderId="43"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Continuous" vertical="center" wrapText="1"/>
      <protection/>
    </xf>
    <xf numFmtId="0" fontId="9" fillId="0" borderId="82" xfId="0" applyFont="1" applyFill="1" applyBorder="1" applyAlignment="1">
      <alignment horizontal="centerContinuous" vertical="center"/>
    </xf>
    <xf numFmtId="0" fontId="9" fillId="0" borderId="64" xfId="0" applyFont="1" applyFill="1" applyBorder="1" applyAlignment="1" applyProtection="1">
      <alignment horizontal="centerContinuous" vertical="center"/>
      <protection/>
    </xf>
    <xf numFmtId="179" fontId="16" fillId="0" borderId="0" xfId="61" applyFont="1" applyFill="1" applyBorder="1" applyAlignment="1" applyProtection="1">
      <alignment vertical="center"/>
      <protection/>
    </xf>
    <xf numFmtId="179" fontId="8" fillId="0" borderId="36" xfId="61" applyFont="1" applyFill="1" applyBorder="1" applyAlignment="1" applyProtection="1">
      <alignment horizontal="center" vertical="center"/>
      <protection/>
    </xf>
    <xf numFmtId="0" fontId="49" fillId="0" borderId="0" xfId="61" applyNumberFormat="1" applyFont="1" applyAlignment="1" applyProtection="1">
      <alignment horizontal="center" vertical="center" wrapText="1"/>
      <protection/>
    </xf>
    <xf numFmtId="0" fontId="6" fillId="28" borderId="142" xfId="0" applyFont="1" applyFill="1" applyBorder="1" applyAlignment="1">
      <alignment/>
    </xf>
    <xf numFmtId="0" fontId="110" fillId="29" borderId="0" xfId="0" applyFont="1" applyFill="1" applyBorder="1" applyAlignment="1">
      <alignment horizontal="center" wrapText="1"/>
    </xf>
    <xf numFmtId="0" fontId="116" fillId="0" borderId="0" xfId="0" applyFont="1" applyBorder="1" applyAlignment="1">
      <alignment horizontal="center"/>
    </xf>
    <xf numFmtId="0" fontId="19" fillId="0" borderId="0" xfId="0" applyFont="1" applyAlignment="1">
      <alignment/>
    </xf>
    <xf numFmtId="0" fontId="6" fillId="0" borderId="121" xfId="0" applyFont="1" applyBorder="1" applyAlignment="1">
      <alignment/>
    </xf>
    <xf numFmtId="0" fontId="6" fillId="0" borderId="151" xfId="0" applyFont="1" applyBorder="1" applyAlignment="1">
      <alignment/>
    </xf>
    <xf numFmtId="0" fontId="6" fillId="0" borderId="51" xfId="0" applyFont="1" applyBorder="1" applyAlignment="1">
      <alignment/>
    </xf>
    <xf numFmtId="0" fontId="116" fillId="0" borderId="78" xfId="0" applyFont="1" applyBorder="1" applyAlignment="1">
      <alignment horizontal="center"/>
    </xf>
    <xf numFmtId="0" fontId="74" fillId="16" borderId="62" xfId="0" applyFont="1" applyFill="1" applyBorder="1" applyAlignment="1">
      <alignment horizontal="center" vertical="center" readingOrder="1"/>
    </xf>
    <xf numFmtId="0" fontId="74" fillId="16" borderId="133" xfId="0" applyFont="1" applyFill="1" applyBorder="1" applyAlignment="1">
      <alignment horizontal="center" vertical="center" readingOrder="1"/>
    </xf>
    <xf numFmtId="0" fontId="74" fillId="16" borderId="59" xfId="0" applyFont="1" applyFill="1" applyBorder="1" applyAlignment="1">
      <alignment horizontal="center" vertical="center" readingOrder="1"/>
    </xf>
    <xf numFmtId="179" fontId="13" fillId="29" borderId="0" xfId="61" applyFont="1" applyFill="1" applyBorder="1" applyAlignment="1" applyProtection="1">
      <alignment horizontal="left" vertical="center" wrapText="1"/>
      <protection/>
    </xf>
    <xf numFmtId="179" fontId="13" fillId="0" borderId="0" xfId="61" applyFont="1" applyFill="1" applyAlignment="1" applyProtection="1">
      <alignment horizontal="left" vertical="center" wrapText="1"/>
      <protection/>
    </xf>
    <xf numFmtId="179" fontId="13" fillId="0" borderId="144" xfId="61" applyFont="1" applyFill="1" applyBorder="1" applyAlignment="1" applyProtection="1">
      <alignment horizontal="left" vertical="center" wrapText="1"/>
      <protection/>
    </xf>
    <xf numFmtId="49" fontId="16" fillId="0" borderId="62" xfId="61" applyNumberFormat="1" applyFont="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49" fontId="79" fillId="24" borderId="62" xfId="36" applyNumberFormat="1" applyFont="1" applyFill="1" applyBorder="1" applyAlignment="1" applyProtection="1">
      <alignment vertical="center"/>
      <protection locked="0"/>
    </xf>
    <xf numFmtId="49" fontId="16" fillId="24" borderId="133" xfId="0" applyNumberFormat="1" applyFont="1" applyFill="1" applyBorder="1" applyAlignment="1" applyProtection="1">
      <alignment vertical="center"/>
      <protection locked="0"/>
    </xf>
    <xf numFmtId="49" fontId="16" fillId="24" borderId="59" xfId="0" applyNumberFormat="1" applyFont="1" applyFill="1" applyBorder="1" applyAlignment="1" applyProtection="1">
      <alignment vertical="center"/>
      <protection locked="0"/>
    </xf>
    <xf numFmtId="49" fontId="16" fillId="0" borderId="62" xfId="59" applyNumberFormat="1" applyFont="1" applyFill="1" applyBorder="1" applyAlignment="1" applyProtection="1">
      <alignment horizontal="left" vertical="center"/>
      <protection locked="0"/>
    </xf>
    <xf numFmtId="49" fontId="16" fillId="0" borderId="133" xfId="59" applyNumberFormat="1" applyFont="1" applyFill="1" applyBorder="1" applyAlignment="1" applyProtection="1">
      <alignment horizontal="left" vertical="center"/>
      <protection locked="0"/>
    </xf>
    <xf numFmtId="49" fontId="16" fillId="22" borderId="62"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0" borderId="62"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0" borderId="62" xfId="61" applyNumberFormat="1" applyFont="1" applyFill="1" applyBorder="1" applyAlignment="1" applyProtection="1">
      <alignment horizontal="left" vertical="center"/>
      <protection locked="0"/>
    </xf>
    <xf numFmtId="49" fontId="16" fillId="0" borderId="59" xfId="61" applyNumberFormat="1" applyFont="1" applyFill="1" applyBorder="1" applyAlignment="1" applyProtection="1">
      <alignment horizontal="left" vertical="center"/>
      <protection locked="0"/>
    </xf>
    <xf numFmtId="49" fontId="11" fillId="0" borderId="62" xfId="36" applyNumberForma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179" fontId="21" fillId="0" borderId="0" xfId="61" applyFont="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0" xfId="61" applyFont="1" applyBorder="1" applyAlignment="1" applyProtection="1">
      <alignment horizontal="left" wrapText="1"/>
      <protection/>
    </xf>
    <xf numFmtId="179" fontId="8" fillId="0" borderId="132" xfId="61" applyFont="1" applyBorder="1" applyAlignment="1" applyProtection="1">
      <alignment horizontal="left" wrapText="1"/>
      <protection/>
    </xf>
    <xf numFmtId="0" fontId="70" fillId="16" borderId="62" xfId="0" applyFont="1" applyFill="1" applyBorder="1" applyAlignment="1">
      <alignment horizontal="center" vertical="center" wrapText="1" readingOrder="1"/>
    </xf>
    <xf numFmtId="0" fontId="70" fillId="16" borderId="133" xfId="0" applyFont="1" applyFill="1" applyBorder="1" applyAlignment="1">
      <alignment horizontal="center" vertical="center" wrapText="1" readingOrder="1"/>
    </xf>
    <xf numFmtId="0" fontId="70" fillId="16" borderId="59" xfId="0" applyFont="1" applyFill="1" applyBorder="1" applyAlignment="1">
      <alignment horizontal="center" vertical="center" wrapText="1" readingOrder="1"/>
    </xf>
    <xf numFmtId="49" fontId="16" fillId="0" borderId="155" xfId="59" applyNumberFormat="1" applyFont="1" applyFill="1" applyBorder="1" applyAlignment="1" applyProtection="1">
      <alignment horizontal="left" vertical="center" wrapText="1"/>
      <protection locked="0"/>
    </xf>
    <xf numFmtId="49" fontId="16" fillId="0" borderId="132" xfId="59" applyNumberFormat="1" applyFont="1" applyFill="1" applyBorder="1" applyAlignment="1" applyProtection="1">
      <alignment horizontal="left" vertical="center" wrapText="1"/>
      <protection locked="0"/>
    </xf>
    <xf numFmtId="49" fontId="16" fillId="0" borderId="156"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4" xfId="59" applyNumberFormat="1" applyFont="1" applyFill="1" applyBorder="1" applyAlignment="1" applyProtection="1">
      <alignment horizontal="left" vertical="center" wrapText="1"/>
      <protection locked="0"/>
    </xf>
    <xf numFmtId="49" fontId="16" fillId="0" borderId="58"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49" fontId="16" fillId="0" borderId="80" xfId="59" applyNumberFormat="1" applyFont="1" applyFill="1" applyBorder="1" applyAlignment="1" applyProtection="1">
      <alignment horizontal="left" vertical="center" wrapText="1"/>
      <protection locked="0"/>
    </xf>
    <xf numFmtId="179" fontId="36" fillId="0" borderId="0" xfId="61" applyFont="1" applyFill="1" applyBorder="1" applyAlignment="1" applyProtection="1">
      <alignment horizontal="left" vertical="center"/>
      <protection/>
    </xf>
    <xf numFmtId="49" fontId="16" fillId="22" borderId="62" xfId="59" applyNumberFormat="1" applyFont="1" applyFill="1" applyBorder="1" applyAlignment="1" applyProtection="1">
      <alignment horizontal="left" vertical="center"/>
      <protection locked="0"/>
    </xf>
    <xf numFmtId="49" fontId="16" fillId="22" borderId="133" xfId="59" applyNumberFormat="1" applyFont="1" applyFill="1" applyBorder="1" applyAlignment="1" applyProtection="1">
      <alignment horizontal="left" vertical="center"/>
      <protection locked="0"/>
    </xf>
    <xf numFmtId="49" fontId="16" fillId="22" borderId="59" xfId="59" applyNumberFormat="1" applyFont="1" applyFill="1" applyBorder="1" applyAlignment="1" applyProtection="1">
      <alignment horizontal="left" vertical="center"/>
      <protection locked="0"/>
    </xf>
    <xf numFmtId="179" fontId="36" fillId="0" borderId="0" xfId="61"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76" fillId="0" borderId="157" xfId="0" applyFont="1" applyBorder="1" applyAlignment="1" applyProtection="1">
      <alignment horizontal="center" vertical="center" wrapText="1"/>
      <protection/>
    </xf>
    <xf numFmtId="0" fontId="76" fillId="0" borderId="158" xfId="0" applyFont="1" applyBorder="1" applyAlignment="1" applyProtection="1">
      <alignment horizontal="center" vertical="center" wrapText="1"/>
      <protection/>
    </xf>
    <xf numFmtId="0" fontId="76" fillId="0" borderId="102" xfId="0" applyFont="1" applyBorder="1" applyAlignment="1" applyProtection="1">
      <alignment horizontal="center" vertical="center" wrapText="1"/>
      <protection/>
    </xf>
    <xf numFmtId="0" fontId="76" fillId="0" borderId="0" xfId="0" applyFont="1" applyBorder="1" applyAlignment="1" applyProtection="1">
      <alignment horizontal="center" vertical="center" wrapText="1"/>
      <protection/>
    </xf>
    <xf numFmtId="0" fontId="8" fillId="0" borderId="157" xfId="0" applyFont="1" applyFill="1" applyBorder="1" applyAlignment="1" applyProtection="1">
      <alignment horizontal="center" vertical="center"/>
      <protection/>
    </xf>
    <xf numFmtId="0" fontId="8" fillId="0" borderId="158"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10" fillId="0" borderId="0" xfId="0" applyFont="1" applyBorder="1" applyAlignment="1" applyProtection="1">
      <alignment horizontal="left" vertical="top" wrapText="1"/>
      <protection/>
    </xf>
    <xf numFmtId="0" fontId="24" fillId="0" borderId="116"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20" fillId="24" borderId="42" xfId="63" applyFont="1" applyFill="1" applyBorder="1" applyAlignment="1" applyProtection="1">
      <alignment horizontal="center" vertical="center"/>
      <protection/>
    </xf>
    <xf numFmtId="0" fontId="9" fillId="24" borderId="38" xfId="64" applyFont="1" applyFill="1" applyBorder="1" applyAlignment="1">
      <alignment horizontal="center" vertical="center"/>
      <protection/>
    </xf>
    <xf numFmtId="0" fontId="0" fillId="0" borderId="14" xfId="0" applyBorder="1" applyAlignment="1">
      <alignment/>
    </xf>
    <xf numFmtId="0" fontId="0" fillId="0" borderId="37" xfId="0" applyBorder="1" applyAlignment="1">
      <alignment/>
    </xf>
    <xf numFmtId="0" fontId="20" fillId="24" borderId="34" xfId="63" applyFont="1" applyFill="1" applyBorder="1" applyAlignment="1" applyProtection="1">
      <alignment horizontal="center" vertical="center" wrapText="1"/>
      <protection/>
    </xf>
    <xf numFmtId="0" fontId="20" fillId="24" borderId="44"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85"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104" xfId="63" applyFont="1" applyFill="1" applyBorder="1" applyAlignment="1" applyProtection="1">
      <alignment horizontal="center" vertical="center" wrapText="1"/>
      <protection/>
    </xf>
    <xf numFmtId="0" fontId="20" fillId="0" borderId="113" xfId="63" applyFont="1" applyFill="1" applyBorder="1" applyAlignment="1" applyProtection="1">
      <alignment horizontal="center" vertical="center" wrapText="1"/>
      <protection/>
    </xf>
    <xf numFmtId="0" fontId="20" fillId="0" borderId="112" xfId="63" applyFont="1" applyFill="1" applyBorder="1" applyAlignment="1" applyProtection="1">
      <alignment horizontal="center" vertical="center" wrapText="1"/>
      <protection/>
    </xf>
    <xf numFmtId="0" fontId="20" fillId="0" borderId="69" xfId="63" applyFont="1" applyFill="1" applyBorder="1" applyAlignment="1" applyProtection="1">
      <alignment horizontal="center" vertical="center" wrapText="1"/>
      <protection/>
    </xf>
    <xf numFmtId="0" fontId="20" fillId="0" borderId="104" xfId="64" applyFont="1" applyFill="1" applyBorder="1" applyAlignment="1" applyProtection="1">
      <alignment horizontal="center" vertical="center" wrapText="1"/>
      <protection/>
    </xf>
    <xf numFmtId="0" fontId="20" fillId="0" borderId="113"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20" fillId="0" borderId="17" xfId="64" applyFont="1" applyFill="1" applyBorder="1" applyAlignment="1" applyProtection="1">
      <alignment horizontal="center" vertical="center" wrapText="1"/>
      <protection/>
    </xf>
    <xf numFmtId="0" fontId="20" fillId="0" borderId="104" xfId="64" applyFont="1" applyFill="1" applyBorder="1" applyAlignment="1" applyProtection="1">
      <alignment horizontal="center" vertical="center"/>
      <protection/>
    </xf>
    <xf numFmtId="0" fontId="20" fillId="0" borderId="69" xfId="64" applyFont="1" applyFill="1" applyBorder="1" applyAlignment="1" applyProtection="1">
      <alignment horizontal="center" vertical="center"/>
      <protection/>
    </xf>
    <xf numFmtId="0" fontId="0" fillId="0" borderId="17" xfId="0" applyBorder="1" applyAlignment="1">
      <alignment horizontal="center" vertical="center" wrapText="1"/>
    </xf>
    <xf numFmtId="0" fontId="20" fillId="0" borderId="16" xfId="64" applyFont="1" applyFill="1" applyBorder="1" applyAlignment="1" applyProtection="1">
      <alignment horizontal="center" vertical="center"/>
      <protection/>
    </xf>
    <xf numFmtId="0" fontId="20" fillId="0" borderId="112" xfId="64" applyFont="1" applyFill="1" applyBorder="1" applyAlignment="1" applyProtection="1">
      <alignment horizontal="center" vertical="center"/>
      <protection/>
    </xf>
    <xf numFmtId="0" fontId="9" fillId="0" borderId="34" xfId="65" applyFont="1" applyFill="1" applyBorder="1" applyAlignment="1" applyProtection="1">
      <alignment horizontal="center" vertical="center"/>
      <protection/>
    </xf>
    <xf numFmtId="0" fontId="9" fillId="0" borderId="43"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44" xfId="66" applyFont="1" applyFill="1" applyBorder="1" applyAlignment="1" applyProtection="1">
      <alignment horizontal="center" vertical="center"/>
      <protection/>
    </xf>
    <xf numFmtId="0" fontId="9" fillId="0" borderId="43" xfId="66" applyFont="1" applyFill="1" applyBorder="1" applyAlignment="1" applyProtection="1">
      <alignment horizontal="center" vertical="center"/>
      <protection/>
    </xf>
    <xf numFmtId="0" fontId="17" fillId="0" borderId="159"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7" fillId="0" borderId="0" xfId="0" applyFont="1" applyAlignment="1">
      <alignment horizontal="center" wrapText="1"/>
    </xf>
    <xf numFmtId="0" fontId="47" fillId="0" borderId="116"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17" fillId="0" borderId="104" xfId="68" applyFont="1" applyFill="1" applyBorder="1" applyAlignment="1" applyProtection="1">
      <alignment horizontal="center" vertical="center" wrapText="1"/>
      <protection locked="0"/>
    </xf>
    <xf numFmtId="0" fontId="0" fillId="0" borderId="113" xfId="0" applyBorder="1" applyAlignment="1">
      <alignment/>
    </xf>
    <xf numFmtId="0" fontId="17" fillId="0" borderId="16" xfId="68" applyFont="1" applyFill="1" applyBorder="1" applyAlignment="1" applyProtection="1">
      <alignment horizontal="center" vertical="center" wrapText="1"/>
      <protection/>
    </xf>
    <xf numFmtId="0" fontId="17" fillId="0" borderId="104" xfId="68" applyFont="1" applyFill="1" applyBorder="1" applyAlignment="1" applyProtection="1">
      <alignment horizontal="center" vertical="center" wrapText="1"/>
      <protection/>
    </xf>
    <xf numFmtId="0" fontId="17" fillId="0" borderId="113"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9" fillId="28" borderId="160" xfId="0" applyFont="1" applyFill="1" applyBorder="1" applyAlignment="1">
      <alignment horizontal="center" vertical="top" wrapText="1"/>
    </xf>
    <xf numFmtId="0" fontId="9" fillId="28" borderId="161" xfId="0" applyFont="1" applyFill="1" applyBorder="1" applyAlignment="1">
      <alignment horizontal="center" vertical="top" wrapText="1"/>
    </xf>
    <xf numFmtId="0" fontId="111" fillId="0" borderId="116" xfId="0" applyFont="1" applyBorder="1" applyAlignment="1">
      <alignment horizontal="center" vertical="center" wrapText="1"/>
    </xf>
    <xf numFmtId="0" fontId="0" fillId="0" borderId="162" xfId="0" applyBorder="1" applyAlignment="1" applyProtection="1">
      <alignment vertical="top" wrapText="1"/>
      <protection locked="0"/>
    </xf>
    <xf numFmtId="0" fontId="0" fillId="0" borderId="150" xfId="0" applyBorder="1" applyAlignment="1" applyProtection="1">
      <alignment vertical="top" wrapText="1"/>
      <protection locked="0"/>
    </xf>
    <xf numFmtId="0" fontId="0" fillId="0" borderId="71" xfId="0" applyBorder="1" applyAlignment="1" applyProtection="1">
      <alignment vertical="top" wrapText="1"/>
      <protection locked="0"/>
    </xf>
    <xf numFmtId="0" fontId="25" fillId="0" borderId="46"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08" fillId="0" borderId="158" xfId="0" applyFont="1" applyBorder="1" applyAlignment="1">
      <alignment horizontal="center"/>
    </xf>
    <xf numFmtId="0" fontId="117" fillId="0" borderId="20" xfId="0" applyFont="1" applyBorder="1" applyAlignment="1">
      <alignment horizontal="left" vertical="center" wrapText="1"/>
    </xf>
    <xf numFmtId="0" fontId="117" fillId="0" borderId="0" xfId="0" applyFont="1" applyAlignment="1">
      <alignment horizontal="left" vertical="center" wrapText="1"/>
    </xf>
    <xf numFmtId="0" fontId="6" fillId="0" borderId="0" xfId="0" applyFont="1" applyAlignment="1">
      <alignment horizontal="left" wrapText="1"/>
    </xf>
    <xf numFmtId="0" fontId="0" fillId="0" borderId="0" xfId="0" applyAlignment="1" applyProtection="1">
      <alignment/>
      <protection/>
    </xf>
    <xf numFmtId="0" fontId="118" fillId="0" borderId="116" xfId="0" applyFont="1" applyBorder="1" applyAlignment="1" applyProtection="1">
      <alignment horizontal="right" vertical="top" wrapText="1"/>
      <protection/>
    </xf>
    <xf numFmtId="0" fontId="119" fillId="0" borderId="116" xfId="0" applyFont="1" applyBorder="1" applyAlignment="1" applyProtection="1">
      <alignment horizontal="right"/>
      <protection/>
    </xf>
    <xf numFmtId="3" fontId="16" fillId="0" borderId="140"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141" xfId="0" applyNumberFormat="1" applyFont="1" applyFill="1" applyBorder="1" applyAlignment="1" applyProtection="1">
      <alignment/>
      <protection locked="0"/>
    </xf>
    <xf numFmtId="0" fontId="16" fillId="0" borderId="163" xfId="0" applyNumberFormat="1" applyFont="1" applyFill="1" applyBorder="1" applyAlignment="1" applyProtection="1">
      <alignment/>
      <protection locked="0"/>
    </xf>
    <xf numFmtId="0" fontId="8" fillId="0" borderId="62" xfId="0" applyFont="1" applyBorder="1" applyAlignment="1">
      <alignment horizontal="center"/>
    </xf>
    <xf numFmtId="0" fontId="8" fillId="0" borderId="133" xfId="0" applyFont="1" applyBorder="1" applyAlignment="1">
      <alignment horizontal="center"/>
    </xf>
    <xf numFmtId="0" fontId="8" fillId="0" borderId="59" xfId="0" applyFont="1" applyBorder="1" applyAlignment="1">
      <alignment horizontal="center"/>
    </xf>
    <xf numFmtId="0" fontId="24" fillId="0" borderId="0" xfId="0" applyFont="1" applyBorder="1" applyAlignment="1">
      <alignment horizontal="left" vertical="center" wrapText="1"/>
    </xf>
    <xf numFmtId="0" fontId="8" fillId="0" borderId="62" xfId="0" applyFont="1" applyBorder="1" applyAlignment="1">
      <alignment horizontal="center" wrapText="1"/>
    </xf>
    <xf numFmtId="0" fontId="8" fillId="0" borderId="133" xfId="0" applyFont="1" applyBorder="1" applyAlignment="1">
      <alignment horizontal="center" wrapText="1"/>
    </xf>
    <xf numFmtId="0" fontId="8" fillId="0" borderId="59" xfId="0" applyFont="1" applyBorder="1" applyAlignment="1">
      <alignment horizontal="center" wrapText="1"/>
    </xf>
    <xf numFmtId="0" fontId="8" fillId="0" borderId="62" xfId="0" applyFont="1" applyBorder="1" applyAlignment="1">
      <alignment horizontal="center"/>
    </xf>
    <xf numFmtId="0" fontId="8" fillId="0" borderId="133" xfId="0" applyFont="1" applyBorder="1" applyAlignment="1">
      <alignment horizontal="center"/>
    </xf>
    <xf numFmtId="0" fontId="8" fillId="0" borderId="59" xfId="0" applyFont="1" applyBorder="1" applyAlignment="1">
      <alignment horizontal="center"/>
    </xf>
    <xf numFmtId="0" fontId="47" fillId="0" borderId="0" xfId="0" applyFont="1" applyAlignment="1">
      <alignment horizontal="center" vertical="center" wrapText="1"/>
    </xf>
    <xf numFmtId="0" fontId="21" fillId="0" borderId="157" xfId="0" applyFont="1" applyBorder="1" applyAlignment="1">
      <alignment horizontal="left" wrapText="1"/>
    </xf>
    <xf numFmtId="0" fontId="21" fillId="0" borderId="158" xfId="0" applyFont="1" applyBorder="1" applyAlignment="1">
      <alignment horizontal="left" wrapText="1"/>
    </xf>
    <xf numFmtId="0" fontId="21" fillId="0" borderId="102" xfId="0" applyFont="1" applyBorder="1" applyAlignment="1">
      <alignment horizontal="left" wrapText="1"/>
    </xf>
    <xf numFmtId="10" fontId="6" fillId="0" borderId="164" xfId="71" applyNumberFormat="1" applyFont="1" applyBorder="1" applyAlignment="1">
      <alignment horizontal="center" vertical="center" wrapText="1"/>
    </xf>
    <xf numFmtId="10" fontId="6" fillId="0" borderId="160" xfId="71" applyNumberFormat="1" applyFont="1" applyBorder="1" applyAlignment="1">
      <alignment horizontal="center" vertical="center" wrapText="1"/>
    </xf>
    <xf numFmtId="10" fontId="6" fillId="0" borderId="161" xfId="71" applyNumberFormat="1" applyFont="1" applyBorder="1" applyAlignment="1">
      <alignment horizontal="center" vertical="center" wrapText="1"/>
    </xf>
    <xf numFmtId="0" fontId="14" fillId="0" borderId="162" xfId="0" applyFont="1" applyBorder="1" applyAlignment="1">
      <alignment horizontal="right"/>
    </xf>
    <xf numFmtId="0" fontId="14" fillId="0" borderId="150" xfId="0" applyFont="1" applyBorder="1" applyAlignment="1">
      <alignment horizontal="right"/>
    </xf>
    <xf numFmtId="0" fontId="14" fillId="0" borderId="165" xfId="0" applyFont="1" applyBorder="1" applyAlignment="1">
      <alignment horizontal="right"/>
    </xf>
    <xf numFmtId="0" fontId="21" fillId="0" borderId="157" xfId="0" applyFont="1" applyBorder="1" applyAlignment="1">
      <alignment horizontal="left" vertical="top" wrapText="1"/>
    </xf>
    <xf numFmtId="0" fontId="21" fillId="0" borderId="158" xfId="0" applyFont="1" applyBorder="1" applyAlignment="1">
      <alignment horizontal="left" vertical="top" wrapText="1"/>
    </xf>
    <xf numFmtId="0" fontId="21" fillId="0" borderId="102" xfId="0" applyFont="1" applyBorder="1" applyAlignment="1">
      <alignment horizontal="left" vertical="top" wrapText="1"/>
    </xf>
    <xf numFmtId="0" fontId="6" fillId="0" borderId="157" xfId="0" applyFont="1" applyFill="1" applyBorder="1" applyAlignment="1">
      <alignment horizontal="center" vertical="center"/>
    </xf>
    <xf numFmtId="0" fontId="6" fillId="0" borderId="158"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57" xfId="0" applyFont="1" applyBorder="1" applyAlignment="1">
      <alignment horizontal="center" vertical="center" wrapText="1"/>
    </xf>
    <xf numFmtId="0" fontId="0" fillId="0" borderId="158" xfId="0" applyFont="1" applyBorder="1" applyAlignment="1">
      <alignment horizontal="center" vertical="center"/>
    </xf>
    <xf numFmtId="3" fontId="31" fillId="0" borderId="166" xfId="0" applyNumberFormat="1" applyFont="1" applyBorder="1" applyAlignment="1">
      <alignment horizontal="center"/>
    </xf>
    <xf numFmtId="0" fontId="0" fillId="0" borderId="158" xfId="0" applyFont="1" applyBorder="1" applyAlignment="1">
      <alignment/>
    </xf>
    <xf numFmtId="0" fontId="0" fillId="0" borderId="102" xfId="0" applyFont="1" applyBorder="1" applyAlignment="1">
      <alignment/>
    </xf>
    <xf numFmtId="0" fontId="14" fillId="0" borderId="157" xfId="0"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58" xfId="0" applyFont="1" applyBorder="1" applyAlignment="1">
      <alignment horizontal="center" vertical="center" wrapText="1"/>
    </xf>
    <xf numFmtId="0" fontId="6" fillId="0" borderId="102" xfId="0" applyFont="1" applyBorder="1" applyAlignment="1">
      <alignment horizontal="center" vertical="center" wrapText="1"/>
    </xf>
    <xf numFmtId="0" fontId="0" fillId="0" borderId="102" xfId="0" applyFont="1" applyBorder="1" applyAlignment="1">
      <alignment horizontal="center" vertical="center"/>
    </xf>
    <xf numFmtId="0" fontId="0" fillId="0" borderId="85"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4" xfId="0" applyFont="1" applyBorder="1" applyAlignment="1">
      <alignment horizontal="center" vertical="center"/>
    </xf>
    <xf numFmtId="0" fontId="21" fillId="0" borderId="78"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7">
    <dxf>
      <font>
        <color rgb="FFFF0000"/>
      </font>
    </dxf>
    <dxf>
      <font>
        <color rgb="FFFF0000"/>
      </font>
    </dxf>
    <dxf>
      <font>
        <color rgb="FFFF0000"/>
      </font>
    </dxf>
    <dxf>
      <font>
        <color rgb="FFFF0000"/>
      </font>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SI_1!$B$186:$B$199</c:f>
              <c:strCache/>
            </c:strRef>
          </c:cat>
          <c:val>
            <c:numRef>
              <c:f>SI_1!$C$186:$C$199</c:f>
              <c:numCache/>
            </c:numRef>
          </c:val>
        </c:ser>
        <c:axId val="59773072"/>
        <c:axId val="1086737"/>
      </c:barChart>
      <c:catAx>
        <c:axId val="5977307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1086737"/>
        <c:crossesAt val="0"/>
        <c:auto val="1"/>
        <c:lblOffset val="100"/>
        <c:tickLblSkip val="1"/>
        <c:noMultiLvlLbl val="0"/>
      </c:catAx>
      <c:valAx>
        <c:axId val="1086737"/>
        <c:scaling>
          <c:orientation val="minMax"/>
          <c:max val="1"/>
        </c:scaling>
        <c:axPos val="l"/>
        <c:delete val="1"/>
        <c:majorTickMark val="out"/>
        <c:minorTickMark val="none"/>
        <c:tickLblPos val="nextTo"/>
        <c:crossAx val="59773072"/>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9"/>
          <c:w val="0.99875"/>
          <c:h val="0.78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SI_1!$E$186:$E$202</c:f>
              <c:strCache/>
            </c:strRef>
          </c:cat>
          <c:val>
            <c:numRef>
              <c:f>SI_1!$F$186:$F$202</c:f>
              <c:numCache/>
            </c:numRef>
          </c:val>
        </c:ser>
        <c:axId val="9780634"/>
        <c:axId val="20916843"/>
      </c:barChart>
      <c:catAx>
        <c:axId val="978063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20916843"/>
        <c:crosses val="autoZero"/>
        <c:auto val="1"/>
        <c:lblOffset val="100"/>
        <c:tickLblSkip val="1"/>
        <c:noMultiLvlLbl val="0"/>
      </c:catAx>
      <c:valAx>
        <c:axId val="20916843"/>
        <c:scaling>
          <c:orientation val="minMax"/>
        </c:scaling>
        <c:axPos val="l"/>
        <c:delete val="1"/>
        <c:majorTickMark val="out"/>
        <c:minorTickMark val="none"/>
        <c:tickLblPos val="nextTo"/>
        <c:crossAx val="978063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461135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461135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575435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1362075</xdr:colOff>
      <xdr:row>0</xdr:row>
      <xdr:rowOff>533400</xdr:rowOff>
    </xdr:to>
    <xdr:sp>
      <xdr:nvSpPr>
        <xdr:cNvPr id="6" name="Testo 1"/>
        <xdr:cNvSpPr>
          <a:spLocks/>
        </xdr:cNvSpPr>
      </xdr:nvSpPr>
      <xdr:spPr>
        <a:xfrm>
          <a:off x="361950" y="66675"/>
          <a:ext cx="978217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962400"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4706600"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34</xdr:col>
      <xdr:colOff>0</xdr:colOff>
      <xdr:row>1</xdr:row>
      <xdr:rowOff>285750</xdr:rowOff>
    </xdr:to>
    <xdr:sp>
      <xdr:nvSpPr>
        <xdr:cNvPr id="1" name="Testo 3"/>
        <xdr:cNvSpPr txBox="1">
          <a:spLocks noChangeArrowheads="1"/>
        </xdr:cNvSpPr>
      </xdr:nvSpPr>
      <xdr:spPr>
        <a:xfrm>
          <a:off x="0" y="581025"/>
          <a:ext cx="5267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28</xdr:col>
      <xdr:colOff>819150</xdr:colOff>
      <xdr:row>1</xdr:row>
      <xdr:rowOff>276225</xdr:rowOff>
    </xdr:to>
    <xdr:sp>
      <xdr:nvSpPr>
        <xdr:cNvPr id="1" name="Testo 3"/>
        <xdr:cNvSpPr txBox="1">
          <a:spLocks noChangeArrowheads="1"/>
        </xdr:cNvSpPr>
      </xdr:nvSpPr>
      <xdr:spPr>
        <a:xfrm>
          <a:off x="0" y="457200"/>
          <a:ext cx="67246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35</xdr:col>
      <xdr:colOff>0</xdr:colOff>
      <xdr:row>1</xdr:row>
      <xdr:rowOff>276225</xdr:rowOff>
    </xdr:to>
    <xdr:sp>
      <xdr:nvSpPr>
        <xdr:cNvPr id="1" name="Testo 3"/>
        <xdr:cNvSpPr txBox="1">
          <a:spLocks noChangeArrowheads="1"/>
        </xdr:cNvSpPr>
      </xdr:nvSpPr>
      <xdr:spPr>
        <a:xfrm>
          <a:off x="0" y="504825"/>
          <a:ext cx="726757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102298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102298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49923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49923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87249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87249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581025</xdr:colOff>
      <xdr:row>1</xdr:row>
      <xdr:rowOff>276225</xdr:rowOff>
    </xdr:to>
    <xdr:sp>
      <xdr:nvSpPr>
        <xdr:cNvPr id="1" name="Testo 9"/>
        <xdr:cNvSpPr txBox="1">
          <a:spLocks noChangeArrowheads="1"/>
        </xdr:cNvSpPr>
      </xdr:nvSpPr>
      <xdr:spPr>
        <a:xfrm>
          <a:off x="9525" y="342900"/>
          <a:ext cx="67913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67056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11</xdr:col>
      <xdr:colOff>0</xdr:colOff>
      <xdr:row>1</xdr:row>
      <xdr:rowOff>295275</xdr:rowOff>
    </xdr:to>
    <xdr:sp>
      <xdr:nvSpPr>
        <xdr:cNvPr id="1" name="Testo 9"/>
        <xdr:cNvSpPr txBox="1">
          <a:spLocks noChangeArrowheads="1"/>
        </xdr:cNvSpPr>
      </xdr:nvSpPr>
      <xdr:spPr>
        <a:xfrm>
          <a:off x="9525" y="590550"/>
          <a:ext cx="7839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8867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65532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86010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86582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87153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4" customWidth="1"/>
    <col min="2" max="2" width="25.83203125" style="362" customWidth="1"/>
    <col min="3" max="3" width="31" style="362" customWidth="1"/>
    <col min="4" max="4" width="20.5" style="362" customWidth="1"/>
    <col min="5" max="5" width="40.66015625" style="362" customWidth="1"/>
    <col min="6" max="6" width="29" style="362" customWidth="1"/>
    <col min="7" max="7" width="26" style="362" customWidth="1"/>
    <col min="8" max="10" width="5.33203125" style="341" hidden="1" customWidth="1"/>
    <col min="11" max="11" width="38.83203125" style="341" customWidth="1"/>
    <col min="12" max="16384" width="6.33203125" style="341" customWidth="1"/>
  </cols>
  <sheetData>
    <row r="1" ht="57.75" customHeight="1">
      <c r="A1" s="484" t="s">
        <v>273</v>
      </c>
    </row>
    <row r="2" spans="1:7" s="342" customFormat="1" ht="20.25" customHeight="1">
      <c r="A2" s="485" t="s">
        <v>393</v>
      </c>
      <c r="B2" s="363"/>
      <c r="C2" s="888"/>
      <c r="D2" s="888"/>
      <c r="E2" s="888"/>
      <c r="F2" s="888"/>
      <c r="G2" s="363"/>
    </row>
    <row r="3" spans="1:7" s="342" customFormat="1" ht="27" customHeight="1">
      <c r="A3" s="391"/>
      <c r="B3" s="471"/>
      <c r="C3" s="892" t="str">
        <f>'t1'!A1</f>
        <v>MAGISTRATURA ORDINARIA - anno 2019</v>
      </c>
      <c r="D3" s="892"/>
      <c r="E3" s="892"/>
      <c r="F3" s="892"/>
      <c r="G3" s="363"/>
    </row>
    <row r="4" spans="3:8" ht="12.75">
      <c r="C4" s="365"/>
      <c r="D4" s="365"/>
      <c r="E4" s="365"/>
      <c r="F4" s="365"/>
      <c r="H4" s="343"/>
    </row>
    <row r="5" spans="5:8" ht="12.75">
      <c r="E5" s="364"/>
      <c r="H5" s="343"/>
    </row>
    <row r="6" spans="2:7" ht="18" customHeight="1">
      <c r="B6" s="851" t="s">
        <v>306</v>
      </c>
      <c r="C6" s="852"/>
      <c r="D6" s="852"/>
      <c r="E6" s="852"/>
      <c r="F6" s="852"/>
      <c r="G6" s="853"/>
    </row>
    <row r="7" ht="6" customHeight="1"/>
    <row r="8" spans="1:7" ht="19.5" customHeight="1" hidden="1">
      <c r="A8" s="392"/>
      <c r="B8" s="362" t="s">
        <v>238</v>
      </c>
      <c r="D8" s="366"/>
      <c r="E8" s="862"/>
      <c r="F8" s="863"/>
      <c r="G8" s="871"/>
    </row>
    <row r="9" spans="1:11" ht="28.5" customHeight="1" hidden="1">
      <c r="A9" s="392"/>
      <c r="B9" s="344" t="s">
        <v>239</v>
      </c>
      <c r="C9" s="344"/>
      <c r="D9" s="366"/>
      <c r="E9" s="889"/>
      <c r="F9" s="890"/>
      <c r="G9" s="891"/>
      <c r="K9" s="486"/>
    </row>
    <row r="10" spans="1:11" ht="28.5" customHeight="1">
      <c r="A10" s="392"/>
      <c r="B10" s="344" t="s">
        <v>240</v>
      </c>
      <c r="C10" s="344"/>
      <c r="D10" s="366"/>
      <c r="E10" s="862"/>
      <c r="F10" s="863"/>
      <c r="G10" s="871"/>
      <c r="K10" s="486"/>
    </row>
    <row r="11" spans="1:11" ht="28.5" customHeight="1">
      <c r="A11" s="392"/>
      <c r="B11" s="344" t="s">
        <v>241</v>
      </c>
      <c r="C11" s="344"/>
      <c r="D11" s="366"/>
      <c r="E11" s="862"/>
      <c r="F11" s="863"/>
      <c r="G11" s="871"/>
      <c r="K11" s="486"/>
    </row>
    <row r="12" spans="1:11" ht="28.5" customHeight="1">
      <c r="A12" s="392"/>
      <c r="B12" s="344" t="s">
        <v>242</v>
      </c>
      <c r="C12" s="344"/>
      <c r="D12" s="366"/>
      <c r="E12" s="870"/>
      <c r="F12" s="863"/>
      <c r="G12" s="871"/>
      <c r="K12" s="486"/>
    </row>
    <row r="13" spans="1:11" ht="28.5" customHeight="1" hidden="1">
      <c r="A13" s="392"/>
      <c r="B13" s="344" t="s">
        <v>243</v>
      </c>
      <c r="C13" s="582"/>
      <c r="D13" s="583"/>
      <c r="E13" s="584"/>
      <c r="F13" s="585"/>
      <c r="G13" s="586"/>
      <c r="H13" s="528"/>
      <c r="I13" s="529"/>
      <c r="J13" s="526"/>
      <c r="K13" s="530"/>
    </row>
    <row r="14" spans="1:7" s="346" customFormat="1" ht="20.25" customHeight="1" hidden="1">
      <c r="A14" s="392"/>
      <c r="B14" s="345"/>
      <c r="C14" s="367" t="s">
        <v>244</v>
      </c>
      <c r="D14" s="368" t="s">
        <v>262</v>
      </c>
      <c r="E14" s="367" t="s">
        <v>245</v>
      </c>
      <c r="F14" s="367" t="s">
        <v>278</v>
      </c>
      <c r="G14" s="367"/>
    </row>
    <row r="15" spans="1:7" s="499" customFormat="1" ht="28.5" customHeight="1">
      <c r="A15" s="362"/>
      <c r="B15" s="344" t="s">
        <v>47</v>
      </c>
      <c r="C15" s="498"/>
      <c r="D15" s="859"/>
      <c r="E15" s="860"/>
      <c r="F15" s="860"/>
      <c r="G15" s="861"/>
    </row>
    <row r="16" spans="1:7" ht="18" customHeight="1">
      <c r="A16" s="392"/>
      <c r="B16" s="851" t="s">
        <v>302</v>
      </c>
      <c r="C16" s="852"/>
      <c r="D16" s="852"/>
      <c r="E16" s="852"/>
      <c r="F16" s="852"/>
      <c r="G16" s="853"/>
    </row>
    <row r="17" spans="1:7" s="347" customFormat="1" ht="15" customHeight="1">
      <c r="A17" s="392"/>
      <c r="B17" s="369" t="s">
        <v>246</v>
      </c>
      <c r="C17" s="623"/>
      <c r="D17" s="623"/>
      <c r="E17" s="623"/>
      <c r="F17" s="623"/>
      <c r="G17" s="623"/>
    </row>
    <row r="18" spans="1:7" s="347" customFormat="1" ht="15">
      <c r="A18" s="392"/>
      <c r="B18" s="371" t="s">
        <v>247</v>
      </c>
      <c r="C18" s="371"/>
      <c r="D18" s="371" t="s">
        <v>248</v>
      </c>
      <c r="E18" s="371"/>
      <c r="F18" s="372" t="s">
        <v>257</v>
      </c>
      <c r="G18" s="617"/>
    </row>
    <row r="19" spans="1:11" ht="22.5" customHeight="1">
      <c r="A19" s="392"/>
      <c r="B19" s="862"/>
      <c r="C19" s="863"/>
      <c r="D19" s="862"/>
      <c r="E19" s="863"/>
      <c r="F19" s="870"/>
      <c r="G19" s="871"/>
      <c r="K19" s="487"/>
    </row>
    <row r="20" spans="1:7" s="347" customFormat="1" ht="15" customHeight="1">
      <c r="A20" s="392"/>
      <c r="B20" s="369" t="s">
        <v>249</v>
      </c>
      <c r="C20" s="370"/>
      <c r="D20" s="371"/>
      <c r="E20" s="371"/>
      <c r="F20" s="623"/>
      <c r="G20" s="623"/>
    </row>
    <row r="21" spans="1:7" s="347" customFormat="1" ht="15" customHeight="1">
      <c r="A21" s="392"/>
      <c r="B21" s="371" t="s">
        <v>247</v>
      </c>
      <c r="C21" s="371"/>
      <c r="D21" s="371" t="s">
        <v>248</v>
      </c>
      <c r="E21" s="371"/>
      <c r="F21" s="372" t="s">
        <v>257</v>
      </c>
      <c r="G21" s="618"/>
    </row>
    <row r="22" spans="1:11" ht="23.25" customHeight="1">
      <c r="A22" s="392"/>
      <c r="B22" s="866"/>
      <c r="C22" s="867"/>
      <c r="D22" s="866"/>
      <c r="E22" s="867"/>
      <c r="F22" s="866"/>
      <c r="G22" s="867"/>
      <c r="K22" s="487" t="str">
        <f>IF(OR(LEN(B22)&gt;0,LEN(D22)&gt;0),IF(LEN(F22)=0,"E' NECESSARIO COMPILARE IL CAMPO E-MAIL"," ")," ")</f>
        <v> </v>
      </c>
    </row>
    <row r="23" spans="1:11" ht="23.25" customHeight="1">
      <c r="A23" s="392"/>
      <c r="B23" s="866"/>
      <c r="C23" s="867"/>
      <c r="D23" s="866"/>
      <c r="E23" s="867"/>
      <c r="F23" s="866"/>
      <c r="G23" s="867"/>
      <c r="K23" s="487" t="str">
        <f>IF(OR(LEN(B23)&gt;0,LEN(D23)&gt;0),IF(LEN(F23)=0,"E' NECESSARIO COMPILARE IL CAMPO E-MAIL"," ")," ")</f>
        <v> </v>
      </c>
    </row>
    <row r="24" spans="1:11" ht="23.25" customHeight="1">
      <c r="A24" s="392"/>
      <c r="B24" s="866"/>
      <c r="C24" s="867"/>
      <c r="D24" s="866"/>
      <c r="E24" s="867"/>
      <c r="F24" s="866"/>
      <c r="G24" s="867"/>
      <c r="K24" s="487" t="str">
        <f>IF(OR(LEN(B24)&gt;0,LEN(D24)&gt;0),IF(LEN(F24)=0,"E' NECESSARIO COMPILARE IL CAMPO E-MAIL"," ")," ")</f>
        <v> </v>
      </c>
    </row>
    <row r="25" spans="1:11" ht="23.25" customHeight="1">
      <c r="A25" s="392"/>
      <c r="B25" s="866"/>
      <c r="C25" s="867"/>
      <c r="D25" s="866"/>
      <c r="E25" s="867"/>
      <c r="F25" s="866"/>
      <c r="G25" s="867"/>
      <c r="K25" s="487" t="str">
        <f>IF(OR(LEN(B25)&gt;0,LEN(D25)&gt;0),IF(LEN(F25)=0,"E' NECESSARIO COMPILARE IL CAMPO E-MAIL"," ")," ")</f>
        <v> </v>
      </c>
    </row>
    <row r="26" spans="1:11" ht="23.25" customHeight="1">
      <c r="A26" s="392"/>
      <c r="B26" s="866"/>
      <c r="C26" s="867"/>
      <c r="D26" s="866"/>
      <c r="E26" s="867"/>
      <c r="F26" s="866"/>
      <c r="G26" s="867"/>
      <c r="K26" s="487" t="str">
        <f>IF(OR(LEN(B26)&gt;0,LEN(D26)&gt;0),IF(LEN(F26)=0,"E' NECESSARIO COMPILARE IL CAMPO E-MAIL"," ")," ")</f>
        <v> </v>
      </c>
    </row>
    <row r="27" spans="1:7" s="343" customFormat="1" ht="18">
      <c r="A27" s="392"/>
      <c r="B27" s="373"/>
      <c r="C27" s="374"/>
      <c r="D27" s="374"/>
      <c r="E27" s="375"/>
      <c r="F27" s="376"/>
      <c r="G27" s="376"/>
    </row>
    <row r="28" spans="1:8" ht="18" customHeight="1">
      <c r="A28" s="392"/>
      <c r="B28" s="378" t="s">
        <v>250</v>
      </c>
      <c r="C28" s="377"/>
      <c r="D28" s="377"/>
      <c r="E28" s="379"/>
      <c r="F28" s="380"/>
      <c r="G28" s="380"/>
      <c r="H28" s="348"/>
    </row>
    <row r="29" spans="1:8" ht="13.5" customHeight="1">
      <c r="A29" s="392"/>
      <c r="B29" s="377"/>
      <c r="C29" s="377"/>
      <c r="D29" s="377"/>
      <c r="E29" s="379"/>
      <c r="F29" s="381"/>
      <c r="G29" s="381"/>
      <c r="H29" s="348"/>
    </row>
    <row r="30" spans="1:8" ht="18" customHeight="1">
      <c r="A30" s="392"/>
      <c r="B30" s="851" t="s">
        <v>303</v>
      </c>
      <c r="C30" s="852"/>
      <c r="D30" s="852"/>
      <c r="E30" s="852"/>
      <c r="F30" s="852"/>
      <c r="G30" s="853"/>
      <c r="H30" s="348"/>
    </row>
    <row r="31" spans="1:7" ht="7.5" customHeight="1">
      <c r="A31" s="392"/>
      <c r="B31" s="665"/>
      <c r="C31" s="666"/>
      <c r="D31" s="666"/>
      <c r="E31" s="364"/>
      <c r="F31" s="666"/>
      <c r="G31" s="666"/>
    </row>
    <row r="32" spans="1:7" s="349" customFormat="1" ht="15.75" customHeight="1">
      <c r="A32" s="392"/>
      <c r="B32" s="667" t="s">
        <v>478</v>
      </c>
      <c r="C32" s="667"/>
      <c r="D32" s="667" t="s">
        <v>479</v>
      </c>
      <c r="E32" s="667" t="s">
        <v>480</v>
      </c>
      <c r="F32" s="746" t="s">
        <v>481</v>
      </c>
      <c r="G32" s="668" t="s">
        <v>251</v>
      </c>
    </row>
    <row r="33" spans="1:11" ht="40.5" customHeight="1">
      <c r="A33" s="392"/>
      <c r="B33" s="864"/>
      <c r="C33" s="865"/>
      <c r="D33" s="583"/>
      <c r="E33" s="587"/>
      <c r="F33" s="588"/>
      <c r="G33" s="588"/>
      <c r="K33" s="487" t="str">
        <f>IF(AND(LEN(B33)&gt;0,LEN(D33)&gt;0,LEN(E33)&gt;0,LEN(F33)&gt;0),"","COMPILARE TUTTI I DATI DEL RESPONSABILE CONTRASSEGNATI CON L'ASTERISCO")</f>
        <v>COMPILARE TUTTI I DATI DEL RESPONSABILE CONTRASSEGNATI CON L'ASTERISCO</v>
      </c>
    </row>
    <row r="34" spans="1:7" ht="20.25" customHeight="1" hidden="1">
      <c r="A34" s="392"/>
      <c r="B34" s="857"/>
      <c r="C34" s="858"/>
      <c r="D34" s="747"/>
      <c r="E34" s="748"/>
      <c r="F34" s="749"/>
      <c r="G34" s="749"/>
    </row>
    <row r="35" spans="1:7" ht="18" customHeight="1">
      <c r="A35" s="392"/>
      <c r="B35" s="672"/>
      <c r="C35" s="672"/>
      <c r="D35" s="673"/>
      <c r="E35" s="673"/>
      <c r="F35" s="364"/>
      <c r="G35" s="364"/>
    </row>
    <row r="36" spans="1:8" ht="18" customHeight="1">
      <c r="A36" s="392"/>
      <c r="B36" s="851" t="s">
        <v>485</v>
      </c>
      <c r="C36" s="852"/>
      <c r="D36" s="852"/>
      <c r="E36" s="852"/>
      <c r="F36" s="852"/>
      <c r="G36" s="853"/>
      <c r="H36" s="348"/>
    </row>
    <row r="37" spans="1:7" ht="7.5" customHeight="1">
      <c r="A37" s="392"/>
      <c r="B37" s="665"/>
      <c r="C37" s="666"/>
      <c r="D37" s="666"/>
      <c r="E37" s="364"/>
      <c r="F37" s="666"/>
      <c r="G37" s="666"/>
    </row>
    <row r="38" spans="1:7" s="349" customFormat="1" ht="15.75" customHeight="1">
      <c r="A38" s="392"/>
      <c r="B38" s="667" t="s">
        <v>247</v>
      </c>
      <c r="C38" s="667"/>
      <c r="D38" s="667" t="s">
        <v>248</v>
      </c>
      <c r="E38" s="667" t="s">
        <v>257</v>
      </c>
      <c r="F38" s="382" t="s">
        <v>240</v>
      </c>
      <c r="G38" s="668" t="s">
        <v>251</v>
      </c>
    </row>
    <row r="39" spans="1:11" ht="23.25" customHeight="1">
      <c r="A39" s="392"/>
      <c r="B39" s="868"/>
      <c r="C39" s="869"/>
      <c r="D39" s="669"/>
      <c r="E39" s="670"/>
      <c r="F39" s="671"/>
      <c r="G39" s="671"/>
      <c r="K39" s="487"/>
    </row>
    <row r="40" spans="1:7" ht="18" customHeight="1">
      <c r="A40" s="392"/>
      <c r="B40" s="672"/>
      <c r="C40" s="672"/>
      <c r="D40" s="673"/>
      <c r="E40" s="673"/>
      <c r="F40" s="364"/>
      <c r="G40" s="364"/>
    </row>
    <row r="41" spans="1:7" ht="18" customHeight="1">
      <c r="A41" s="392"/>
      <c r="B41" s="851" t="s">
        <v>307</v>
      </c>
      <c r="C41" s="852"/>
      <c r="D41" s="852"/>
      <c r="E41" s="852"/>
      <c r="F41" s="852"/>
      <c r="G41" s="853"/>
    </row>
    <row r="42" spans="1:7" ht="6" customHeight="1" hidden="1">
      <c r="A42" s="392"/>
      <c r="B42" s="344"/>
      <c r="C42" s="344"/>
      <c r="D42" s="383"/>
      <c r="E42" s="383"/>
      <c r="F42" s="384"/>
      <c r="G42" s="384"/>
    </row>
    <row r="43" spans="1:9" ht="15" hidden="1">
      <c r="A43" s="392"/>
      <c r="B43" s="350"/>
      <c r="C43" s="344"/>
      <c r="F43" s="359"/>
      <c r="G43" s="359"/>
      <c r="H43" s="393" t="b">
        <v>0</v>
      </c>
      <c r="I43" s="393" t="b">
        <v>0</v>
      </c>
    </row>
    <row r="44" spans="1:11" ht="29.25" customHeight="1" hidden="1">
      <c r="A44" s="392">
        <v>1</v>
      </c>
      <c r="B44" s="854" t="s">
        <v>252</v>
      </c>
      <c r="C44" s="854"/>
      <c r="D44" s="854"/>
      <c r="E44" s="854"/>
      <c r="F44" s="534"/>
      <c r="G44" s="534"/>
      <c r="H44" s="473"/>
      <c r="I44" s="473"/>
      <c r="J44" s="488"/>
      <c r="K44" s="487"/>
    </row>
    <row r="45" spans="2:9" ht="8.25" customHeight="1" hidden="1">
      <c r="B45" s="350"/>
      <c r="C45" s="344"/>
      <c r="F45" s="577"/>
      <c r="G45" s="577"/>
      <c r="H45" s="393"/>
      <c r="I45" s="393"/>
    </row>
    <row r="46" spans="1:11" ht="29.25" customHeight="1" hidden="1">
      <c r="A46" s="392">
        <v>2</v>
      </c>
      <c r="B46" s="854" t="s">
        <v>252</v>
      </c>
      <c r="C46" s="854"/>
      <c r="D46" s="854"/>
      <c r="E46" s="854"/>
      <c r="F46" s="578"/>
      <c r="G46" s="578"/>
      <c r="H46" s="473"/>
      <c r="I46" s="473"/>
      <c r="J46" s="488"/>
      <c r="K46" s="487"/>
    </row>
    <row r="47" spans="1:9" ht="8.25" customHeight="1" hidden="1">
      <c r="A47" s="392"/>
      <c r="B47" s="350"/>
      <c r="C47" s="344"/>
      <c r="F47" s="577"/>
      <c r="G47" s="577"/>
      <c r="H47" s="393"/>
      <c r="I47" s="393"/>
    </row>
    <row r="48" spans="1:11" ht="29.25" customHeight="1" hidden="1">
      <c r="A48" s="392">
        <v>3</v>
      </c>
      <c r="B48" s="854" t="s">
        <v>252</v>
      </c>
      <c r="C48" s="854"/>
      <c r="D48" s="854"/>
      <c r="E48" s="854"/>
      <c r="F48" s="578"/>
      <c r="G48" s="578"/>
      <c r="H48" s="473"/>
      <c r="I48" s="473"/>
      <c r="J48" s="488"/>
      <c r="K48" s="487"/>
    </row>
    <row r="49" spans="1:9" ht="8.25" customHeight="1" hidden="1">
      <c r="A49" s="392"/>
      <c r="B49" s="579"/>
      <c r="C49" s="579"/>
      <c r="D49" s="579"/>
      <c r="E49" s="579"/>
      <c r="F49" s="577"/>
      <c r="G49" s="577"/>
      <c r="H49" s="393"/>
      <c r="I49" s="393"/>
    </row>
    <row r="50" spans="1:11" ht="29.25" customHeight="1" hidden="1">
      <c r="A50" s="392">
        <v>4</v>
      </c>
      <c r="B50" s="854" t="s">
        <v>252</v>
      </c>
      <c r="C50" s="854"/>
      <c r="D50" s="854"/>
      <c r="E50" s="854"/>
      <c r="F50" s="578"/>
      <c r="G50" s="578"/>
      <c r="H50" s="473"/>
      <c r="I50" s="473"/>
      <c r="J50" s="488"/>
      <c r="K50" s="487"/>
    </row>
    <row r="51" spans="1:9" ht="9.75" customHeight="1" hidden="1">
      <c r="A51" s="392"/>
      <c r="H51" s="473"/>
      <c r="I51" s="473"/>
    </row>
    <row r="52" spans="1:7" ht="15" hidden="1">
      <c r="A52" s="392"/>
      <c r="B52" s="364"/>
      <c r="C52" s="364"/>
      <c r="F52" s="384"/>
      <c r="G52" s="385"/>
    </row>
    <row r="53" spans="1:11" ht="27" customHeight="1" hidden="1">
      <c r="A53" s="392">
        <v>5</v>
      </c>
      <c r="B53" s="855" t="s">
        <v>252</v>
      </c>
      <c r="C53" s="855"/>
      <c r="D53" s="855"/>
      <c r="E53" s="855"/>
      <c r="F53" s="856"/>
      <c r="G53" s="616"/>
      <c r="K53" s="487"/>
    </row>
    <row r="54" spans="1:7" ht="4.5" customHeight="1" hidden="1">
      <c r="A54" s="392"/>
      <c r="B54" s="350"/>
      <c r="C54" s="350"/>
      <c r="D54" s="608"/>
      <c r="E54" s="608"/>
      <c r="F54" s="608"/>
      <c r="G54" s="387"/>
    </row>
    <row r="55" spans="1:7" ht="15" hidden="1">
      <c r="A55" s="392"/>
      <c r="B55" s="609"/>
      <c r="C55" s="609"/>
      <c r="D55" s="610"/>
      <c r="E55" s="611"/>
      <c r="F55" s="525"/>
      <c r="G55" s="385"/>
    </row>
    <row r="56" spans="1:11" ht="24" customHeight="1" hidden="1">
      <c r="A56" s="392">
        <v>6</v>
      </c>
      <c r="B56" s="855" t="s">
        <v>252</v>
      </c>
      <c r="C56" s="855"/>
      <c r="D56" s="855"/>
      <c r="E56" s="855"/>
      <c r="F56" s="856"/>
      <c r="G56" s="616"/>
      <c r="K56" s="487"/>
    </row>
    <row r="57" spans="1:7" ht="4.5" customHeight="1" hidden="1">
      <c r="A57" s="392"/>
      <c r="B57" s="350"/>
      <c r="C57" s="605"/>
      <c r="D57" s="610"/>
      <c r="E57" s="611"/>
      <c r="F57" s="525"/>
      <c r="G57" s="365"/>
    </row>
    <row r="58" spans="1:7" ht="15" hidden="1">
      <c r="A58" s="392"/>
      <c r="B58" s="609"/>
      <c r="C58" s="612"/>
      <c r="D58" s="613"/>
      <c r="E58" s="614"/>
      <c r="F58" s="615"/>
      <c r="G58" s="385"/>
    </row>
    <row r="59" spans="1:11" ht="24" customHeight="1" hidden="1">
      <c r="A59" s="392">
        <v>7</v>
      </c>
      <c r="B59" s="855" t="s">
        <v>252</v>
      </c>
      <c r="C59" s="855"/>
      <c r="D59" s="855"/>
      <c r="E59" s="855"/>
      <c r="F59" s="856"/>
      <c r="G59" s="616"/>
      <c r="K59" s="487"/>
    </row>
    <row r="60" spans="1:7" ht="4.5" customHeight="1" hidden="1">
      <c r="A60" s="392"/>
      <c r="B60" s="350"/>
      <c r="C60" s="605"/>
      <c r="D60" s="610"/>
      <c r="E60" s="611"/>
      <c r="F60" s="525"/>
      <c r="G60" s="365" t="s">
        <v>92</v>
      </c>
    </row>
    <row r="61" spans="1:7" ht="15" hidden="1">
      <c r="A61" s="392"/>
      <c r="B61" s="609"/>
      <c r="C61" s="612"/>
      <c r="D61" s="613"/>
      <c r="E61" s="614"/>
      <c r="F61" s="615"/>
      <c r="G61" s="385"/>
    </row>
    <row r="62" spans="1:11" ht="24" customHeight="1" hidden="1">
      <c r="A62" s="392">
        <v>8</v>
      </c>
      <c r="B62" s="855" t="s">
        <v>252</v>
      </c>
      <c r="C62" s="855"/>
      <c r="D62" s="855"/>
      <c r="E62" s="855"/>
      <c r="F62" s="856"/>
      <c r="G62" s="616"/>
      <c r="K62" s="487"/>
    </row>
    <row r="63" spans="1:7" ht="4.5" customHeight="1">
      <c r="A63" s="392"/>
      <c r="B63" s="350"/>
      <c r="C63" s="605"/>
      <c r="D63" s="610"/>
      <c r="E63" s="611"/>
      <c r="F63" s="525"/>
      <c r="G63" s="365" t="s">
        <v>92</v>
      </c>
    </row>
    <row r="64" spans="1:10" s="364" customFormat="1" ht="15" customHeight="1" hidden="1">
      <c r="A64" s="523"/>
      <c r="B64" s="350"/>
      <c r="C64" s="605"/>
      <c r="D64" s="610"/>
      <c r="E64" s="611"/>
      <c r="F64" s="525"/>
      <c r="G64"/>
      <c r="H64"/>
      <c r="I64" s="527"/>
      <c r="J64" s="527"/>
    </row>
    <row r="65" spans="1:10" s="364" customFormat="1" ht="15" customHeight="1" hidden="1">
      <c r="A65" s="523"/>
      <c r="B65" s="350"/>
      <c r="C65" s="605"/>
      <c r="D65" s="610"/>
      <c r="E65" s="611"/>
      <c r="F65" s="525"/>
      <c r="G65"/>
      <c r="H65"/>
      <c r="I65" s="522"/>
      <c r="J65" s="527"/>
    </row>
    <row r="66" spans="1:10" s="364" customFormat="1" ht="15" customHeight="1" hidden="1">
      <c r="A66" s="523"/>
      <c r="B66" s="350"/>
      <c r="C66" s="605"/>
      <c r="D66" s="610"/>
      <c r="E66" s="611"/>
      <c r="F66" s="525"/>
      <c r="G66"/>
      <c r="H66"/>
      <c r="I66" s="522"/>
      <c r="J66" s="527"/>
    </row>
    <row r="67" spans="1:10" s="364" customFormat="1" ht="15" customHeight="1" hidden="1">
      <c r="A67" s="523"/>
      <c r="B67" s="350"/>
      <c r="C67" s="605"/>
      <c r="D67" s="610"/>
      <c r="E67" s="611"/>
      <c r="F67" s="525"/>
      <c r="G67"/>
      <c r="H67"/>
      <c r="I67" s="522"/>
      <c r="J67" s="527"/>
    </row>
    <row r="68" spans="1:10" s="364" customFormat="1" ht="15" customHeight="1" hidden="1">
      <c r="A68" s="523"/>
      <c r="B68" s="350"/>
      <c r="C68" s="605"/>
      <c r="D68" s="610"/>
      <c r="E68" s="611"/>
      <c r="F68" s="525"/>
      <c r="G68"/>
      <c r="H68"/>
      <c r="I68" s="522"/>
      <c r="J68" s="527"/>
    </row>
    <row r="69" spans="1:10" s="364" customFormat="1" ht="15" customHeight="1" hidden="1">
      <c r="A69" s="523"/>
      <c r="B69" s="350"/>
      <c r="C69" s="605"/>
      <c r="D69" s="610"/>
      <c r="E69" s="611"/>
      <c r="F69" s="525"/>
      <c r="G69"/>
      <c r="H69"/>
      <c r="I69" s="522"/>
      <c r="J69" s="527"/>
    </row>
    <row r="70" spans="1:7" ht="9.75" customHeight="1" hidden="1">
      <c r="A70" s="392"/>
      <c r="B70" s="350"/>
      <c r="C70" s="605"/>
      <c r="D70" s="610"/>
      <c r="E70" s="611"/>
      <c r="F70" s="525"/>
      <c r="G70" s="531"/>
    </row>
    <row r="71" spans="1:7" ht="9.75" customHeight="1" hidden="1">
      <c r="A71" s="392"/>
      <c r="B71" s="350"/>
      <c r="C71" s="605"/>
      <c r="D71" s="610"/>
      <c r="E71" s="611"/>
      <c r="F71" s="525"/>
      <c r="G71" s="531"/>
    </row>
    <row r="72" spans="1:7" ht="9.75" customHeight="1" hidden="1">
      <c r="A72" s="392"/>
      <c r="B72" s="350"/>
      <c r="C72" s="605"/>
      <c r="D72" s="610"/>
      <c r="E72" s="611"/>
      <c r="F72" s="525"/>
      <c r="G72" s="531"/>
    </row>
    <row r="73" spans="1:7" ht="9.75" customHeight="1" hidden="1">
      <c r="A73" s="392"/>
      <c r="B73" s="350"/>
      <c r="C73" s="605"/>
      <c r="D73" s="610"/>
      <c r="E73" s="611"/>
      <c r="F73" s="525"/>
      <c r="G73" s="531"/>
    </row>
    <row r="74" spans="1:7" ht="9.75" customHeight="1" hidden="1">
      <c r="A74" s="392"/>
      <c r="B74" s="350"/>
      <c r="C74" s="605"/>
      <c r="D74" s="610"/>
      <c r="E74" s="611"/>
      <c r="F74" s="525"/>
      <c r="G74" s="531"/>
    </row>
    <row r="75" spans="1:7" ht="9.75" customHeight="1" hidden="1">
      <c r="A75" s="392"/>
      <c r="B75" s="350"/>
      <c r="C75" s="605"/>
      <c r="D75" s="610"/>
      <c r="E75" s="611"/>
      <c r="F75" s="525"/>
      <c r="G75" s="531"/>
    </row>
    <row r="76" spans="1:7" ht="9.75" customHeight="1" hidden="1">
      <c r="A76" s="392"/>
      <c r="B76" s="350"/>
      <c r="C76" s="605"/>
      <c r="D76" s="610"/>
      <c r="E76" s="611"/>
      <c r="F76" s="525"/>
      <c r="G76" s="531"/>
    </row>
    <row r="77" spans="1:7" ht="9.75" customHeight="1" hidden="1">
      <c r="A77" s="392"/>
      <c r="B77" s="350"/>
      <c r="C77" s="605"/>
      <c r="D77" s="610"/>
      <c r="E77" s="611"/>
      <c r="F77" s="525"/>
      <c r="G77" s="531"/>
    </row>
    <row r="78" spans="1:7" ht="9.75" customHeight="1" hidden="1">
      <c r="A78" s="392"/>
      <c r="B78" s="350"/>
      <c r="C78" s="605"/>
      <c r="D78" s="610"/>
      <c r="E78" s="611"/>
      <c r="F78" s="525"/>
      <c r="G78" s="531"/>
    </row>
    <row r="79" spans="1:11" ht="9.75" customHeight="1" hidden="1">
      <c r="A79" s="392"/>
      <c r="B79" s="350"/>
      <c r="C79" s="605"/>
      <c r="D79" s="610"/>
      <c r="E79" s="611"/>
      <c r="F79" s="525"/>
      <c r="G79" s="524"/>
      <c r="K79" s="487"/>
    </row>
    <row r="80" spans="1:7" ht="17.25" customHeight="1" hidden="1">
      <c r="A80" s="392"/>
      <c r="B80" s="350"/>
      <c r="C80" s="605"/>
      <c r="D80" s="610"/>
      <c r="E80" s="611"/>
      <c r="F80" s="525"/>
      <c r="G80" s="365"/>
    </row>
    <row r="81" spans="1:7" ht="15">
      <c r="A81" s="392"/>
      <c r="B81" s="609"/>
      <c r="C81" s="612"/>
      <c r="D81" s="613"/>
      <c r="E81" s="614"/>
      <c r="F81" s="615"/>
      <c r="G81" s="385" t="s">
        <v>288</v>
      </c>
    </row>
    <row r="82" spans="1:11" ht="27" customHeight="1">
      <c r="A82" s="392">
        <v>9</v>
      </c>
      <c r="B82" s="855" t="s">
        <v>418</v>
      </c>
      <c r="C82" s="855"/>
      <c r="D82" s="855"/>
      <c r="E82" s="855"/>
      <c r="F82" s="856"/>
      <c r="G82" s="536"/>
      <c r="K82" s="487"/>
    </row>
    <row r="83" spans="1:11" ht="5.25" customHeight="1" hidden="1">
      <c r="A83" s="392"/>
      <c r="B83" s="483"/>
      <c r="C83" s="483"/>
      <c r="D83" s="483"/>
      <c r="E83" s="483"/>
      <c r="F83" s="489"/>
      <c r="G83" s="365"/>
      <c r="K83" s="487"/>
    </row>
    <row r="84" spans="1:7" ht="15" hidden="1">
      <c r="A84" s="392"/>
      <c r="B84" s="609"/>
      <c r="C84" s="612"/>
      <c r="D84" s="613"/>
      <c r="E84" s="614"/>
      <c r="F84" s="615"/>
      <c r="G84" s="385"/>
    </row>
    <row r="85" spans="1:11" ht="27" customHeight="1" hidden="1">
      <c r="A85" s="392">
        <v>10</v>
      </c>
      <c r="B85" s="855" t="s">
        <v>252</v>
      </c>
      <c r="C85" s="855"/>
      <c r="D85" s="855"/>
      <c r="E85" s="855"/>
      <c r="F85" s="856"/>
      <c r="G85" s="616"/>
      <c r="K85" s="487"/>
    </row>
    <row r="86" spans="1:11" ht="5.25" customHeight="1" hidden="1">
      <c r="A86" s="392"/>
      <c r="B86" s="483"/>
      <c r="C86" s="483"/>
      <c r="D86" s="483"/>
      <c r="E86" s="483"/>
      <c r="F86" s="489"/>
      <c r="G86" s="365"/>
      <c r="K86" s="487"/>
    </row>
    <row r="87" spans="1:7" ht="15" hidden="1">
      <c r="A87" s="392"/>
      <c r="B87" s="609"/>
      <c r="C87" s="612"/>
      <c r="D87" s="613"/>
      <c r="E87" s="614"/>
      <c r="F87" s="615"/>
      <c r="G87" s="385"/>
    </row>
    <row r="88" spans="1:11" ht="27" customHeight="1" hidden="1">
      <c r="A88" s="392">
        <v>11</v>
      </c>
      <c r="B88" s="855" t="s">
        <v>252</v>
      </c>
      <c r="C88" s="855"/>
      <c r="D88" s="855"/>
      <c r="E88" s="855"/>
      <c r="F88" s="856"/>
      <c r="G88" s="616"/>
      <c r="K88" s="487"/>
    </row>
    <row r="89" spans="1:11" ht="5.25" customHeight="1" hidden="1">
      <c r="A89" s="392"/>
      <c r="B89" s="483"/>
      <c r="C89" s="483"/>
      <c r="D89" s="483"/>
      <c r="E89" s="483"/>
      <c r="F89" s="489"/>
      <c r="G89" s="365"/>
      <c r="K89" s="487"/>
    </row>
    <row r="90" spans="1:7" ht="15" hidden="1">
      <c r="A90" s="606"/>
      <c r="B90" s="606"/>
      <c r="C90" s="606"/>
      <c r="D90" s="606"/>
      <c r="E90" s="606"/>
      <c r="F90" s="607"/>
      <c r="G90" s="385"/>
    </row>
    <row r="91" spans="1:11" ht="27" customHeight="1" hidden="1">
      <c r="A91" s="392">
        <v>12</v>
      </c>
      <c r="B91" s="855" t="s">
        <v>252</v>
      </c>
      <c r="C91" s="855"/>
      <c r="D91" s="855"/>
      <c r="E91" s="855"/>
      <c r="F91" s="856"/>
      <c r="G91" s="616"/>
      <c r="K91" s="487"/>
    </row>
    <row r="92" spans="1:11" ht="4.5" customHeight="1" hidden="1">
      <c r="A92" s="392"/>
      <c r="B92" s="483"/>
      <c r="C92" s="483"/>
      <c r="D92" s="483"/>
      <c r="E92" s="483"/>
      <c r="F92" s="489"/>
      <c r="G92" s="489"/>
      <c r="K92" s="487"/>
    </row>
    <row r="93" spans="1:7" ht="15" hidden="1">
      <c r="A93" s="392"/>
      <c r="B93" s="609"/>
      <c r="C93" s="612"/>
      <c r="D93" s="613"/>
      <c r="E93" s="614"/>
      <c r="F93" s="615"/>
      <c r="G93" s="385"/>
    </row>
    <row r="94" spans="1:11" ht="27" customHeight="1" hidden="1">
      <c r="A94" s="392">
        <v>13</v>
      </c>
      <c r="B94" s="855" t="s">
        <v>252</v>
      </c>
      <c r="C94" s="855"/>
      <c r="D94" s="855"/>
      <c r="E94" s="855"/>
      <c r="F94" s="856"/>
      <c r="G94" s="616"/>
      <c r="K94" s="487"/>
    </row>
    <row r="95" spans="1:11" ht="4.5" customHeight="1" hidden="1">
      <c r="A95" s="392"/>
      <c r="B95" s="483"/>
      <c r="C95" s="483"/>
      <c r="D95" s="483"/>
      <c r="E95" s="483"/>
      <c r="F95" s="489"/>
      <c r="G95" s="489"/>
      <c r="K95" s="487"/>
    </row>
    <row r="96" spans="1:7" ht="15" hidden="1">
      <c r="A96" s="392"/>
      <c r="B96" s="609"/>
      <c r="C96" s="612"/>
      <c r="D96" s="613"/>
      <c r="E96" s="614"/>
      <c r="F96" s="615"/>
      <c r="G96" s="385"/>
    </row>
    <row r="97" spans="1:11" ht="27" customHeight="1" hidden="1">
      <c r="A97" s="392">
        <v>30</v>
      </c>
      <c r="B97" s="855" t="s">
        <v>252</v>
      </c>
      <c r="C97" s="855"/>
      <c r="D97" s="855"/>
      <c r="E97" s="855"/>
      <c r="F97" s="856"/>
      <c r="G97" s="616"/>
      <c r="K97" s="487"/>
    </row>
    <row r="98" spans="1:11" ht="4.5" customHeight="1">
      <c r="A98" s="392"/>
      <c r="B98" s="483"/>
      <c r="C98" s="483"/>
      <c r="D98" s="483"/>
      <c r="E98" s="483"/>
      <c r="F98" s="489"/>
      <c r="G98" s="489"/>
      <c r="K98" s="487"/>
    </row>
    <row r="99" spans="1:7" ht="15">
      <c r="A99" s="392"/>
      <c r="B99" s="609"/>
      <c r="C99" s="612"/>
      <c r="D99" s="613"/>
      <c r="E99" s="614"/>
      <c r="F99" s="615"/>
      <c r="G99" s="385" t="s">
        <v>253</v>
      </c>
    </row>
    <row r="100" spans="1:11" ht="27" customHeight="1">
      <c r="A100" s="392">
        <v>31</v>
      </c>
      <c r="B100" s="855" t="s">
        <v>419</v>
      </c>
      <c r="C100" s="855"/>
      <c r="D100" s="855"/>
      <c r="E100" s="855"/>
      <c r="F100" s="856"/>
      <c r="G100" s="536"/>
      <c r="K100" s="487"/>
    </row>
    <row r="101" spans="1:11" ht="4.5" customHeight="1">
      <c r="A101" s="392"/>
      <c r="B101" s="483"/>
      <c r="C101" s="483"/>
      <c r="D101" s="483"/>
      <c r="E101" s="483"/>
      <c r="F101" s="489"/>
      <c r="G101" s="489"/>
      <c r="K101" s="487"/>
    </row>
    <row r="102" spans="1:7" ht="15">
      <c r="A102" s="392"/>
      <c r="B102" s="609"/>
      <c r="C102" s="612"/>
      <c r="D102" s="613"/>
      <c r="E102" s="614"/>
      <c r="F102" s="615"/>
      <c r="G102" s="385"/>
    </row>
    <row r="103" spans="1:11" ht="27" customHeight="1">
      <c r="A103" s="392">
        <v>32</v>
      </c>
      <c r="B103" s="855" t="s">
        <v>252</v>
      </c>
      <c r="C103" s="855"/>
      <c r="D103" s="855"/>
      <c r="E103" s="855"/>
      <c r="F103" s="856"/>
      <c r="G103" s="616"/>
      <c r="K103" s="487"/>
    </row>
    <row r="104" spans="1:11" ht="4.5" customHeight="1">
      <c r="A104" s="392"/>
      <c r="B104" s="483"/>
      <c r="C104" s="483"/>
      <c r="D104" s="483"/>
      <c r="E104" s="483"/>
      <c r="F104" s="489"/>
      <c r="G104" s="489"/>
      <c r="K104" s="487"/>
    </row>
    <row r="105" spans="1:7" ht="15">
      <c r="A105" s="392"/>
      <c r="B105" s="609"/>
      <c r="C105" s="612"/>
      <c r="D105" s="613"/>
      <c r="E105" s="614"/>
      <c r="F105" s="615"/>
      <c r="G105" s="385" t="s">
        <v>253</v>
      </c>
    </row>
    <row r="106" spans="1:11" ht="27" customHeight="1">
      <c r="A106" s="392">
        <v>33</v>
      </c>
      <c r="B106" s="855" t="s">
        <v>420</v>
      </c>
      <c r="C106" s="855"/>
      <c r="D106" s="855"/>
      <c r="E106" s="855"/>
      <c r="F106" s="856"/>
      <c r="G106" s="536"/>
      <c r="K106" s="487"/>
    </row>
    <row r="107" spans="1:11" ht="4.5" customHeight="1">
      <c r="A107" s="392"/>
      <c r="B107" s="483"/>
      <c r="C107" s="483"/>
      <c r="D107" s="483"/>
      <c r="E107" s="483"/>
      <c r="F107" s="489"/>
      <c r="G107" s="489"/>
      <c r="K107" s="487"/>
    </row>
    <row r="108" spans="1:7" ht="15">
      <c r="A108" s="392"/>
      <c r="B108" s="609"/>
      <c r="C108" s="612"/>
      <c r="D108" s="613"/>
      <c r="E108" s="614"/>
      <c r="F108" s="615"/>
      <c r="G108" s="385" t="s">
        <v>253</v>
      </c>
    </row>
    <row r="109" spans="1:11" ht="27" customHeight="1">
      <c r="A109" s="392">
        <v>34</v>
      </c>
      <c r="B109" s="855" t="s">
        <v>421</v>
      </c>
      <c r="C109" s="855"/>
      <c r="D109" s="855"/>
      <c r="E109" s="855"/>
      <c r="F109" s="856"/>
      <c r="G109" s="536"/>
      <c r="K109" s="487"/>
    </row>
    <row r="110" spans="1:11" ht="4.5" customHeight="1">
      <c r="A110" s="392"/>
      <c r="B110" s="483"/>
      <c r="C110" s="483"/>
      <c r="D110" s="483"/>
      <c r="E110" s="483"/>
      <c r="F110" s="489"/>
      <c r="G110" s="489"/>
      <c r="K110" s="487"/>
    </row>
    <row r="111" spans="1:7" ht="15" hidden="1">
      <c r="A111" s="392"/>
      <c r="B111" s="609"/>
      <c r="C111" s="612"/>
      <c r="D111" s="613"/>
      <c r="E111" s="614"/>
      <c r="F111" s="615"/>
      <c r="G111" s="385"/>
    </row>
    <row r="112" spans="1:11" ht="27" customHeight="1" hidden="1">
      <c r="A112" s="392">
        <v>35</v>
      </c>
      <c r="B112" s="855" t="s">
        <v>252</v>
      </c>
      <c r="C112" s="855"/>
      <c r="D112" s="855"/>
      <c r="E112" s="855"/>
      <c r="F112" s="856"/>
      <c r="G112" s="616"/>
      <c r="K112" s="487"/>
    </row>
    <row r="113" spans="1:11" ht="4.5" customHeight="1" hidden="1">
      <c r="A113" s="392"/>
      <c r="B113" s="483"/>
      <c r="C113" s="483"/>
      <c r="D113" s="483"/>
      <c r="E113" s="483"/>
      <c r="F113" s="489"/>
      <c r="G113" s="489"/>
      <c r="K113" s="487"/>
    </row>
    <row r="114" spans="1:7" ht="15" hidden="1">
      <c r="A114" s="392"/>
      <c r="B114" s="609"/>
      <c r="C114" s="612"/>
      <c r="D114" s="613"/>
      <c r="E114" s="614"/>
      <c r="F114" s="615"/>
      <c r="G114" s="385"/>
    </row>
    <row r="115" spans="1:11" ht="27" customHeight="1" hidden="1">
      <c r="A115" s="392">
        <v>36</v>
      </c>
      <c r="B115" s="855" t="s">
        <v>252</v>
      </c>
      <c r="C115" s="855"/>
      <c r="D115" s="855"/>
      <c r="E115" s="855"/>
      <c r="F115" s="856"/>
      <c r="G115" s="616"/>
      <c r="K115" s="487"/>
    </row>
    <row r="116" spans="1:11" ht="4.5" customHeight="1" hidden="1">
      <c r="A116" s="392"/>
      <c r="B116" s="483"/>
      <c r="C116" s="483"/>
      <c r="D116" s="483"/>
      <c r="E116" s="483"/>
      <c r="F116" s="489"/>
      <c r="G116" s="489"/>
      <c r="K116" s="487"/>
    </row>
    <row r="117" spans="1:7" ht="15" hidden="1">
      <c r="A117" s="392"/>
      <c r="B117" s="609"/>
      <c r="C117" s="612"/>
      <c r="D117" s="613"/>
      <c r="E117" s="614"/>
      <c r="F117" s="615"/>
      <c r="G117" s="385"/>
    </row>
    <row r="118" spans="1:11" ht="27" customHeight="1" hidden="1">
      <c r="A118" s="392">
        <v>37</v>
      </c>
      <c r="B118" s="855" t="s">
        <v>252</v>
      </c>
      <c r="C118" s="855"/>
      <c r="D118" s="855"/>
      <c r="E118" s="855"/>
      <c r="F118" s="856"/>
      <c r="G118" s="616"/>
      <c r="K118" s="487"/>
    </row>
    <row r="119" spans="1:11" ht="4.5" customHeight="1" hidden="1">
      <c r="A119" s="392"/>
      <c r="B119" s="483"/>
      <c r="C119" s="483"/>
      <c r="D119" s="483"/>
      <c r="E119" s="483"/>
      <c r="F119" s="489"/>
      <c r="G119" s="489"/>
      <c r="K119" s="487"/>
    </row>
    <row r="120" spans="1:7" ht="15" hidden="1">
      <c r="A120" s="392"/>
      <c r="B120" s="609"/>
      <c r="C120" s="612"/>
      <c r="D120" s="613"/>
      <c r="E120" s="614"/>
      <c r="F120" s="615"/>
      <c r="G120" s="385"/>
    </row>
    <row r="121" spans="1:11" ht="27" customHeight="1" hidden="1">
      <c r="A121" s="392">
        <v>38</v>
      </c>
      <c r="B121" s="855" t="s">
        <v>252</v>
      </c>
      <c r="C121" s="855"/>
      <c r="D121" s="855"/>
      <c r="E121" s="855"/>
      <c r="F121" s="856"/>
      <c r="G121" s="616"/>
      <c r="K121" s="487"/>
    </row>
    <row r="122" spans="1:11" ht="4.5" customHeight="1" hidden="1">
      <c r="A122" s="392"/>
      <c r="B122" s="483"/>
      <c r="C122" s="483"/>
      <c r="D122" s="483"/>
      <c r="E122" s="483"/>
      <c r="F122" s="489"/>
      <c r="G122" s="489"/>
      <c r="K122" s="487"/>
    </row>
    <row r="123" spans="1:7" ht="15" hidden="1">
      <c r="A123" s="392"/>
      <c r="B123" s="609"/>
      <c r="C123" s="612"/>
      <c r="D123" s="613"/>
      <c r="E123" s="614"/>
      <c r="F123" s="615"/>
      <c r="G123" s="385"/>
    </row>
    <row r="124" spans="1:11" ht="27" customHeight="1" hidden="1">
      <c r="A124" s="392">
        <v>39</v>
      </c>
      <c r="B124" s="855" t="s">
        <v>252</v>
      </c>
      <c r="C124" s="855"/>
      <c r="D124" s="855"/>
      <c r="E124" s="855"/>
      <c r="F124" s="856"/>
      <c r="G124" s="616"/>
      <c r="K124" s="487"/>
    </row>
    <row r="125" spans="1:11" ht="4.5" customHeight="1" hidden="1">
      <c r="A125" s="392"/>
      <c r="B125" s="483"/>
      <c r="C125" s="483"/>
      <c r="D125" s="483"/>
      <c r="E125" s="483"/>
      <c r="F125" s="489"/>
      <c r="G125" s="489"/>
      <c r="K125" s="487"/>
    </row>
    <row r="126" spans="1:7" ht="15" hidden="1">
      <c r="A126" s="392"/>
      <c r="B126" s="609"/>
      <c r="C126" s="612"/>
      <c r="D126" s="613"/>
      <c r="E126" s="614"/>
      <c r="F126" s="615"/>
      <c r="G126" s="385"/>
    </row>
    <row r="127" spans="1:11" ht="27" customHeight="1" hidden="1">
      <c r="A127" s="392">
        <v>40</v>
      </c>
      <c r="B127" s="855" t="s">
        <v>252</v>
      </c>
      <c r="C127" s="855"/>
      <c r="D127" s="855"/>
      <c r="E127" s="855"/>
      <c r="F127" s="856"/>
      <c r="G127" s="616"/>
      <c r="K127" s="487"/>
    </row>
    <row r="128" spans="1:11" ht="4.5" customHeight="1" hidden="1">
      <c r="A128" s="392"/>
      <c r="B128" s="483"/>
      <c r="C128" s="483"/>
      <c r="D128" s="483"/>
      <c r="E128" s="483"/>
      <c r="F128" s="489"/>
      <c r="G128" s="489"/>
      <c r="K128" s="487"/>
    </row>
    <row r="129" spans="1:7" ht="15" hidden="1">
      <c r="A129" s="392"/>
      <c r="B129" s="609"/>
      <c r="C129" s="612"/>
      <c r="D129" s="613"/>
      <c r="E129" s="614"/>
      <c r="F129" s="615"/>
      <c r="G129" s="385"/>
    </row>
    <row r="130" spans="1:11" ht="27" customHeight="1" hidden="1">
      <c r="A130" s="392">
        <v>41</v>
      </c>
      <c r="B130" s="855" t="s">
        <v>252</v>
      </c>
      <c r="C130" s="855"/>
      <c r="D130" s="855"/>
      <c r="E130" s="855"/>
      <c r="F130" s="856"/>
      <c r="G130" s="616"/>
      <c r="K130" s="487"/>
    </row>
    <row r="131" spans="1:11" ht="4.5" customHeight="1" hidden="1">
      <c r="A131" s="392"/>
      <c r="B131" s="483"/>
      <c r="C131" s="483"/>
      <c r="D131" s="483"/>
      <c r="E131" s="483"/>
      <c r="F131" s="489"/>
      <c r="G131" s="489"/>
      <c r="K131" s="487"/>
    </row>
    <row r="132" spans="1:7" ht="15" hidden="1">
      <c r="A132" s="392"/>
      <c r="B132" s="609"/>
      <c r="C132" s="612"/>
      <c r="D132" s="613"/>
      <c r="E132" s="614"/>
      <c r="F132" s="615"/>
      <c r="G132" s="385"/>
    </row>
    <row r="133" spans="1:11" ht="27" customHeight="1" hidden="1">
      <c r="A133" s="392">
        <v>42</v>
      </c>
      <c r="B133" s="855" t="s">
        <v>252</v>
      </c>
      <c r="C133" s="855"/>
      <c r="D133" s="855"/>
      <c r="E133" s="855"/>
      <c r="F133" s="856"/>
      <c r="G133" s="616"/>
      <c r="K133" s="487"/>
    </row>
    <row r="134" spans="1:11" ht="4.5" customHeight="1" hidden="1">
      <c r="A134" s="392"/>
      <c r="B134" s="483"/>
      <c r="C134" s="483"/>
      <c r="D134" s="483"/>
      <c r="E134" s="483"/>
      <c r="F134" s="489"/>
      <c r="G134" s="489"/>
      <c r="K134" s="487"/>
    </row>
    <row r="135" spans="1:7" ht="15" hidden="1">
      <c r="A135" s="392"/>
      <c r="B135" s="609"/>
      <c r="C135" s="612"/>
      <c r="D135" s="613"/>
      <c r="E135" s="614"/>
      <c r="F135" s="615"/>
      <c r="G135" s="385"/>
    </row>
    <row r="136" spans="1:11" ht="27" customHeight="1" hidden="1">
      <c r="A136" s="392">
        <v>43</v>
      </c>
      <c r="B136" s="855" t="s">
        <v>252</v>
      </c>
      <c r="C136" s="855"/>
      <c r="D136" s="855"/>
      <c r="E136" s="855"/>
      <c r="F136" s="856"/>
      <c r="G136" s="616"/>
      <c r="K136" s="487"/>
    </row>
    <row r="137" spans="1:11" ht="4.5" customHeight="1" hidden="1">
      <c r="A137" s="392"/>
      <c r="B137" s="483"/>
      <c r="C137" s="483"/>
      <c r="D137" s="483"/>
      <c r="E137" s="483"/>
      <c r="F137" s="489"/>
      <c r="G137" s="489"/>
      <c r="K137" s="487"/>
    </row>
    <row r="138" spans="1:7" ht="15" hidden="1">
      <c r="A138" s="392"/>
      <c r="B138" s="609"/>
      <c r="C138" s="612"/>
      <c r="D138" s="613"/>
      <c r="E138" s="614"/>
      <c r="F138" s="615"/>
      <c r="G138" s="385"/>
    </row>
    <row r="139" spans="1:11" ht="27" customHeight="1" hidden="1">
      <c r="A139" s="392">
        <v>44</v>
      </c>
      <c r="B139" s="855" t="s">
        <v>252</v>
      </c>
      <c r="C139" s="855"/>
      <c r="D139" s="855"/>
      <c r="E139" s="855"/>
      <c r="F139" s="856"/>
      <c r="G139" s="616"/>
      <c r="K139" s="487"/>
    </row>
    <row r="140" spans="1:11" ht="4.5" customHeight="1" hidden="1">
      <c r="A140" s="392"/>
      <c r="B140" s="483"/>
      <c r="C140" s="483"/>
      <c r="D140" s="483"/>
      <c r="E140" s="483"/>
      <c r="F140" s="489"/>
      <c r="G140" s="489"/>
      <c r="K140" s="487"/>
    </row>
    <row r="141" spans="1:7" ht="15" hidden="1">
      <c r="A141" s="392"/>
      <c r="B141" s="609"/>
      <c r="C141" s="612"/>
      <c r="D141" s="613"/>
      <c r="E141" s="614"/>
      <c r="F141" s="615"/>
      <c r="G141" s="385"/>
    </row>
    <row r="142" spans="1:11" ht="27" customHeight="1" hidden="1">
      <c r="A142" s="392">
        <v>45</v>
      </c>
      <c r="B142" s="855" t="s">
        <v>252</v>
      </c>
      <c r="C142" s="855"/>
      <c r="D142" s="855"/>
      <c r="E142" s="855"/>
      <c r="F142" s="856"/>
      <c r="G142" s="616"/>
      <c r="K142" s="487"/>
    </row>
    <row r="143" spans="1:11" ht="4.5" customHeight="1" hidden="1">
      <c r="A143" s="392"/>
      <c r="B143" s="483"/>
      <c r="C143" s="483"/>
      <c r="D143" s="483"/>
      <c r="E143" s="483"/>
      <c r="F143" s="489"/>
      <c r="G143" s="489"/>
      <c r="K143" s="487"/>
    </row>
    <row r="144" spans="1:7" ht="15" hidden="1">
      <c r="A144" s="392"/>
      <c r="B144" s="609"/>
      <c r="C144" s="612"/>
      <c r="D144" s="613"/>
      <c r="E144" s="614"/>
      <c r="F144" s="615"/>
      <c r="G144" s="385"/>
    </row>
    <row r="145" spans="1:11" ht="27" customHeight="1" hidden="1">
      <c r="A145" s="392">
        <v>46</v>
      </c>
      <c r="B145" s="855" t="s">
        <v>252</v>
      </c>
      <c r="C145" s="855"/>
      <c r="D145" s="855"/>
      <c r="E145" s="855"/>
      <c r="F145" s="856"/>
      <c r="G145" s="616"/>
      <c r="K145" s="487"/>
    </row>
    <row r="146" spans="1:11" ht="3.75" customHeight="1" hidden="1">
      <c r="A146" s="392"/>
      <c r="B146" s="483"/>
      <c r="C146" s="483"/>
      <c r="D146" s="483"/>
      <c r="E146" s="483"/>
      <c r="F146" s="489"/>
      <c r="G146" s="840"/>
      <c r="K146" s="487"/>
    </row>
    <row r="147" spans="1:11" s="364" customFormat="1" ht="15" customHeight="1" hidden="1">
      <c r="A147" s="392"/>
      <c r="B147" s="483"/>
      <c r="C147" s="483"/>
      <c r="D147" s="483"/>
      <c r="E147" s="483"/>
      <c r="F147" s="489"/>
      <c r="G147" s="841"/>
      <c r="K147" s="842"/>
    </row>
    <row r="148" spans="1:11" s="364" customFormat="1" ht="27" customHeight="1" hidden="1">
      <c r="A148" s="392">
        <v>47</v>
      </c>
      <c r="B148" s="855" t="s">
        <v>252</v>
      </c>
      <c r="C148" s="855"/>
      <c r="D148" s="855"/>
      <c r="E148" s="855"/>
      <c r="F148" s="856"/>
      <c r="G148" s="616"/>
      <c r="K148" s="842"/>
    </row>
    <row r="149" spans="1:11" s="364" customFormat="1" ht="3.75" customHeight="1" hidden="1">
      <c r="A149" s="392"/>
      <c r="C149" s="483"/>
      <c r="D149" s="483"/>
      <c r="E149" s="483"/>
      <c r="F149" s="489"/>
      <c r="G149" s="489"/>
      <c r="K149" s="842"/>
    </row>
    <row r="150" spans="1:11" s="364" customFormat="1" ht="15" customHeight="1" hidden="1">
      <c r="A150" s="392"/>
      <c r="B150" s="483"/>
      <c r="C150" s="483"/>
      <c r="D150" s="483"/>
      <c r="E150" s="483"/>
      <c r="F150" s="489"/>
      <c r="G150" s="841"/>
      <c r="K150" s="842"/>
    </row>
    <row r="151" spans="1:11" s="364" customFormat="1" ht="27" customHeight="1" hidden="1">
      <c r="A151" s="392">
        <v>48</v>
      </c>
      <c r="B151" s="855" t="s">
        <v>252</v>
      </c>
      <c r="C151" s="855"/>
      <c r="D151" s="855"/>
      <c r="E151" s="855"/>
      <c r="F151" s="856"/>
      <c r="G151" s="616"/>
      <c r="K151" s="842"/>
    </row>
    <row r="152" spans="1:11" s="364" customFormat="1" ht="3" customHeight="1" hidden="1">
      <c r="A152" s="392"/>
      <c r="B152" s="483"/>
      <c r="C152" s="483"/>
      <c r="D152" s="483"/>
      <c r="E152" s="483"/>
      <c r="F152" s="489"/>
      <c r="G152" s="840"/>
      <c r="K152" s="842"/>
    </row>
    <row r="153" spans="1:11" s="364" customFormat="1" ht="15" customHeight="1" hidden="1">
      <c r="A153" s="392"/>
      <c r="B153" s="483"/>
      <c r="C153" s="483"/>
      <c r="D153" s="483"/>
      <c r="E153" s="483"/>
      <c r="F153" s="489"/>
      <c r="G153" s="841"/>
      <c r="K153" s="842"/>
    </row>
    <row r="154" spans="1:11" s="364" customFormat="1" ht="27" customHeight="1" hidden="1">
      <c r="A154" s="392">
        <v>49</v>
      </c>
      <c r="B154" s="855" t="s">
        <v>252</v>
      </c>
      <c r="C154" s="855"/>
      <c r="D154" s="855"/>
      <c r="E154" s="855"/>
      <c r="F154" s="856"/>
      <c r="G154" s="616"/>
      <c r="K154" s="842"/>
    </row>
    <row r="155" spans="1:11" ht="4.5" customHeight="1" hidden="1">
      <c r="A155" s="392"/>
      <c r="B155" s="483"/>
      <c r="C155" s="483"/>
      <c r="D155" s="483"/>
      <c r="E155" s="483"/>
      <c r="F155" s="489"/>
      <c r="G155" s="489"/>
      <c r="K155" s="487"/>
    </row>
    <row r="156" spans="1:7" ht="15" hidden="1">
      <c r="A156" s="392"/>
      <c r="B156" s="609"/>
      <c r="C156" s="612"/>
      <c r="D156" s="613"/>
      <c r="E156" s="614"/>
      <c r="F156" s="615"/>
      <c r="G156" s="841"/>
    </row>
    <row r="157" spans="1:11" ht="27" customHeight="1" hidden="1">
      <c r="A157" s="392">
        <v>50</v>
      </c>
      <c r="B157" s="855" t="s">
        <v>252</v>
      </c>
      <c r="C157" s="855"/>
      <c r="D157" s="855"/>
      <c r="E157" s="855"/>
      <c r="F157" s="856"/>
      <c r="G157" s="616"/>
      <c r="K157" s="487"/>
    </row>
    <row r="158" spans="1:11" ht="4.5" customHeight="1" hidden="1">
      <c r="A158" s="392"/>
      <c r="B158" s="483"/>
      <c r="C158" s="483"/>
      <c r="D158" s="483"/>
      <c r="E158" s="483"/>
      <c r="F158" s="489"/>
      <c r="G158" s="489"/>
      <c r="K158" s="487"/>
    </row>
    <row r="159" spans="1:7" ht="15" hidden="1">
      <c r="A159" s="392"/>
      <c r="B159" s="609"/>
      <c r="C159" s="612"/>
      <c r="D159" s="613"/>
      <c r="E159" s="614"/>
      <c r="F159" s="615"/>
      <c r="G159" s="841"/>
    </row>
    <row r="160" spans="1:11" ht="27" customHeight="1" hidden="1">
      <c r="A160" s="392">
        <v>51</v>
      </c>
      <c r="B160" s="855" t="s">
        <v>252</v>
      </c>
      <c r="C160" s="855"/>
      <c r="D160" s="855"/>
      <c r="E160" s="855"/>
      <c r="F160" s="856"/>
      <c r="G160" s="616"/>
      <c r="K160" s="487"/>
    </row>
    <row r="161" spans="1:11" ht="4.5" customHeight="1" hidden="1">
      <c r="A161" s="392"/>
      <c r="B161" s="483"/>
      <c r="C161" s="483"/>
      <c r="D161" s="483"/>
      <c r="E161" s="483"/>
      <c r="F161" s="489"/>
      <c r="G161" s="489"/>
      <c r="K161" s="487"/>
    </row>
    <row r="162" spans="1:7" ht="15" hidden="1">
      <c r="A162" s="392"/>
      <c r="B162" s="609"/>
      <c r="C162" s="612"/>
      <c r="D162" s="613"/>
      <c r="E162" s="614"/>
      <c r="F162" s="615"/>
      <c r="G162" s="841"/>
    </row>
    <row r="163" spans="1:11" ht="27" customHeight="1" hidden="1">
      <c r="A163" s="392">
        <v>52</v>
      </c>
      <c r="B163" s="855" t="s">
        <v>252</v>
      </c>
      <c r="C163" s="855"/>
      <c r="D163" s="855"/>
      <c r="E163" s="855"/>
      <c r="F163" s="856"/>
      <c r="G163" s="616"/>
      <c r="K163" s="487"/>
    </row>
    <row r="164" spans="1:11" ht="4.5" customHeight="1" hidden="1">
      <c r="A164" s="392"/>
      <c r="B164" s="483"/>
      <c r="C164" s="483"/>
      <c r="D164" s="483"/>
      <c r="E164" s="483"/>
      <c r="F164" s="489"/>
      <c r="G164" s="489"/>
      <c r="K164" s="487"/>
    </row>
    <row r="165" spans="1:7" ht="15" hidden="1">
      <c r="A165" s="392"/>
      <c r="B165" s="609"/>
      <c r="C165" s="612"/>
      <c r="D165" s="613"/>
      <c r="E165" s="614"/>
      <c r="F165" s="615"/>
      <c r="G165" s="841"/>
    </row>
    <row r="166" spans="1:11" ht="27" customHeight="1" hidden="1">
      <c r="A166" s="392">
        <v>53</v>
      </c>
      <c r="B166" s="855" t="s">
        <v>252</v>
      </c>
      <c r="C166" s="855"/>
      <c r="D166" s="855"/>
      <c r="E166" s="855"/>
      <c r="F166" s="856"/>
      <c r="G166" s="616"/>
      <c r="K166" s="487"/>
    </row>
    <row r="167" spans="1:11" ht="4.5" customHeight="1" hidden="1">
      <c r="A167" s="392"/>
      <c r="B167" s="483"/>
      <c r="C167" s="483"/>
      <c r="D167" s="483"/>
      <c r="E167" s="483"/>
      <c r="F167" s="489"/>
      <c r="G167" s="489"/>
      <c r="K167" s="487"/>
    </row>
    <row r="168" spans="1:7" ht="15" hidden="1">
      <c r="A168" s="392"/>
      <c r="B168" s="609"/>
      <c r="C168" s="612"/>
      <c r="D168" s="613"/>
      <c r="E168" s="614"/>
      <c r="F168" s="615"/>
      <c r="G168" s="841"/>
    </row>
    <row r="169" spans="1:11" ht="27" customHeight="1" hidden="1">
      <c r="A169" s="392">
        <v>54</v>
      </c>
      <c r="B169" s="855" t="s">
        <v>252</v>
      </c>
      <c r="C169" s="855"/>
      <c r="D169" s="855"/>
      <c r="E169" s="855"/>
      <c r="F169" s="856"/>
      <c r="G169" s="616"/>
      <c r="K169" s="487"/>
    </row>
    <row r="170" spans="2:7" ht="12.75" hidden="1">
      <c r="B170" s="666"/>
      <c r="C170" s="666"/>
      <c r="D170" s="666"/>
      <c r="E170" s="666"/>
      <c r="F170" s="666"/>
      <c r="G170" s="666"/>
    </row>
    <row r="171" spans="2:7" ht="12.75" hidden="1">
      <c r="B171" s="666"/>
      <c r="C171" s="666"/>
      <c r="D171" s="666"/>
      <c r="E171" s="666"/>
      <c r="F171" s="666"/>
      <c r="G171" s="666"/>
    </row>
    <row r="172" spans="2:7" ht="12.75" hidden="1">
      <c r="B172" s="666"/>
      <c r="C172" s="666"/>
      <c r="D172" s="666"/>
      <c r="E172" s="666"/>
      <c r="F172" s="666"/>
      <c r="G172" s="666"/>
    </row>
    <row r="173" spans="1:11" s="364" customFormat="1" ht="15" customHeight="1">
      <c r="A173" s="392"/>
      <c r="B173" s="483"/>
      <c r="C173" s="483"/>
      <c r="D173" s="483"/>
      <c r="E173" s="483"/>
      <c r="F173" s="489"/>
      <c r="G173" s="840"/>
      <c r="K173" s="842"/>
    </row>
    <row r="174" spans="1:7" ht="33" customHeight="1">
      <c r="A174" s="392"/>
      <c r="B174" s="876" t="s">
        <v>477</v>
      </c>
      <c r="C174" s="877"/>
      <c r="D174" s="877"/>
      <c r="E174" s="877"/>
      <c r="F174" s="877"/>
      <c r="G174" s="878"/>
    </row>
    <row r="175" spans="1:11" ht="41.25" customHeight="1">
      <c r="A175" s="392"/>
      <c r="B175" s="879"/>
      <c r="C175" s="880"/>
      <c r="D175" s="880"/>
      <c r="E175" s="880"/>
      <c r="F175" s="880"/>
      <c r="G175" s="881"/>
      <c r="K175" s="487">
        <f>IF(LEN(B175)&gt;1500,"IL NUMERO MASSIMO DI CARATTERI CONSENTITO E' 1500","")</f>
      </c>
    </row>
    <row r="176" spans="1:11" ht="12.75" customHeight="1">
      <c r="A176" s="392"/>
      <c r="B176" s="882"/>
      <c r="C176" s="883"/>
      <c r="D176" s="883"/>
      <c r="E176" s="883"/>
      <c r="F176" s="883"/>
      <c r="G176" s="884"/>
      <c r="K176" s="487"/>
    </row>
    <row r="177" spans="1:7" ht="12.75" customHeight="1">
      <c r="A177" s="392"/>
      <c r="B177" s="882"/>
      <c r="C177" s="883"/>
      <c r="D177" s="883"/>
      <c r="E177" s="883"/>
      <c r="F177" s="883"/>
      <c r="G177" s="884"/>
    </row>
    <row r="178" spans="1:7" ht="12.75" customHeight="1">
      <c r="A178" s="392"/>
      <c r="B178" s="882"/>
      <c r="C178" s="883"/>
      <c r="D178" s="883"/>
      <c r="E178" s="883"/>
      <c r="F178" s="883"/>
      <c r="G178" s="884"/>
    </row>
    <row r="179" spans="1:7" ht="12.75" customHeight="1">
      <c r="A179" s="392"/>
      <c r="B179" s="885"/>
      <c r="C179" s="886"/>
      <c r="D179" s="886"/>
      <c r="E179" s="886"/>
      <c r="F179" s="886"/>
      <c r="G179" s="887"/>
    </row>
    <row r="180" spans="2:7" ht="38.25" customHeight="1">
      <c r="B180" s="875" t="s">
        <v>279</v>
      </c>
      <c r="C180" s="875"/>
      <c r="D180" s="875"/>
      <c r="E180" s="875"/>
      <c r="F180" s="875"/>
      <c r="G180" s="875"/>
    </row>
    <row r="181" ht="51" customHeight="1">
      <c r="C181" s="535"/>
    </row>
    <row r="182" spans="1:7" s="526" customFormat="1" ht="38.25" customHeight="1">
      <c r="A182" s="537"/>
      <c r="B182" s="873" t="s">
        <v>344</v>
      </c>
      <c r="C182" s="874"/>
      <c r="D182" s="874"/>
      <c r="E182" s="874"/>
      <c r="F182" s="874"/>
      <c r="G182" s="874"/>
    </row>
    <row r="183" ht="51.75" customHeight="1">
      <c r="C183" s="535"/>
    </row>
    <row r="184" ht="18" customHeight="1">
      <c r="C184" s="535"/>
    </row>
    <row r="185" spans="1:11" ht="33.75" customHeight="1">
      <c r="A185" s="386"/>
      <c r="B185" s="872" t="s">
        <v>389</v>
      </c>
      <c r="C185" s="872"/>
      <c r="D185" s="872"/>
      <c r="E185" s="872"/>
      <c r="F185" s="872"/>
      <c r="G185" s="872"/>
      <c r="H185" s="490"/>
      <c r="I185" s="490"/>
      <c r="J185" s="490"/>
      <c r="K185" s="490"/>
    </row>
    <row r="186" spans="1:7" s="819" customFormat="1" ht="12.75">
      <c r="A186" s="816"/>
      <c r="B186" s="817" t="s">
        <v>13</v>
      </c>
      <c r="C186" s="817">
        <f>IF(('t1'!$K$15+'t1'!$L$15)&gt;0,1,0)</f>
        <v>0</v>
      </c>
      <c r="D186" s="818"/>
      <c r="E186" s="817" t="s">
        <v>14</v>
      </c>
      <c r="F186" s="817">
        <f>IF(COUNTIF('Squadratura 1'!J6:J14,"ERRORE")=0,0,1)</f>
        <v>0</v>
      </c>
      <c r="G186" s="818"/>
    </row>
    <row r="187" spans="1:7" s="819" customFormat="1" ht="12.75">
      <c r="A187" s="816"/>
      <c r="B187" s="817" t="s">
        <v>16</v>
      </c>
      <c r="C187" s="817">
        <f>IF(SUM('t3'!C15:R15)&gt;0,1,0)</f>
        <v>0</v>
      </c>
      <c r="D187" s="818"/>
      <c r="E187" s="817" t="s">
        <v>15</v>
      </c>
      <c r="F187" s="817">
        <f>IF(OR('Squadratura 2'!G16="ERRORE",'Squadratura 2'!L16="ERRORE"),1,0)</f>
        <v>0</v>
      </c>
      <c r="G187" s="818"/>
    </row>
    <row r="188" spans="1:7" s="819" customFormat="1" ht="12.75">
      <c r="A188" s="816"/>
      <c r="B188" s="817" t="s">
        <v>18</v>
      </c>
      <c r="C188" s="817">
        <f>IF(('t4'!$L$15)&gt;0,1,0)</f>
        <v>0</v>
      </c>
      <c r="D188" s="818"/>
      <c r="E188" s="817" t="s">
        <v>17</v>
      </c>
      <c r="F188" s="817">
        <f>IF(OR('Squadratura 3'!N17="ERRORE",'Squadratura 3'!O17="ERRORE",'Squadratura 3'!AA17="ERRORE",'Squadratura 3'!AB17="ERRORE"),1,0)</f>
        <v>0</v>
      </c>
      <c r="G188" s="818"/>
    </row>
    <row r="189" spans="1:7" s="819" customFormat="1" ht="12.75">
      <c r="A189" s="816"/>
      <c r="B189" s="817" t="s">
        <v>20</v>
      </c>
      <c r="C189" s="817">
        <f>IF(('t5'!$S$16+'t5'!$T$16)&gt;0,1,0)</f>
        <v>0</v>
      </c>
      <c r="D189" s="818"/>
      <c r="E189" s="817" t="s">
        <v>19</v>
      </c>
      <c r="F189" s="817">
        <f>IF(COUNTIF('Squadratura 4'!I6:I14,"ERRORE")=0,0,1)</f>
        <v>0</v>
      </c>
      <c r="G189" s="818"/>
    </row>
    <row r="190" spans="1:11" s="819" customFormat="1" ht="12.75">
      <c r="A190" s="816"/>
      <c r="B190" s="817" t="s">
        <v>21</v>
      </c>
      <c r="C190" s="817">
        <f>IF(('t6'!$U$16+'t6'!$V$16)&gt;0,1,0)</f>
        <v>0</v>
      </c>
      <c r="D190" s="818"/>
      <c r="E190" s="817" t="s">
        <v>23</v>
      </c>
      <c r="F190" s="817">
        <f>IF(COUNTIF('Incongruenze 1 e 11'!D5:D7,"OK")=3,0,1)</f>
        <v>0</v>
      </c>
      <c r="G190" s="818"/>
      <c r="K190" s="820"/>
    </row>
    <row r="191" spans="1:11" s="819" customFormat="1" ht="12.75">
      <c r="A191" s="816"/>
      <c r="B191" s="817" t="s">
        <v>22</v>
      </c>
      <c r="C191" s="817">
        <f>IF(('t7'!$W$15+'t7'!$X$15)&gt;0,1,0)</f>
        <v>0</v>
      </c>
      <c r="D191" s="818"/>
      <c r="E191" s="817" t="s">
        <v>25</v>
      </c>
      <c r="F191" s="817">
        <f>IF(COUNTIF('Incongruenza 2'!I6:I14,"ERRORE")=0,0,1)</f>
        <v>0</v>
      </c>
      <c r="G191" s="817"/>
      <c r="K191" s="820"/>
    </row>
    <row r="192" spans="1:11" s="819" customFormat="1" ht="12.75">
      <c r="A192" s="816"/>
      <c r="B192" s="817" t="s">
        <v>24</v>
      </c>
      <c r="C192" s="817">
        <f>IF(('t8'!$AA$15+'t8'!$AB$15)&gt;0,1,0)</f>
        <v>0</v>
      </c>
      <c r="D192" s="818"/>
      <c r="E192" s="817" t="s">
        <v>452</v>
      </c>
      <c r="F192" s="817">
        <f>IF(COUNTIF('Incongruenze 3, 12 e 13'!D5:D7,"OK")=3,0,1)</f>
        <v>0</v>
      </c>
      <c r="G192" s="818"/>
      <c r="K192" s="820"/>
    </row>
    <row r="193" spans="1:11" s="819" customFormat="1" ht="12.75">
      <c r="A193" s="816"/>
      <c r="B193" s="817" t="s">
        <v>26</v>
      </c>
      <c r="C193" s="817">
        <f>IF(('t9'!$O$15+'t9'!$P$15)&gt;0,1,0)</f>
        <v>0</v>
      </c>
      <c r="D193" s="818"/>
      <c r="E193" s="817" t="s">
        <v>27</v>
      </c>
      <c r="F193" s="817">
        <f>IF(OR(AND('Incongruenza 4 e controlli t14'!F21=" ",'Incongruenza 4 e controlli t14'!F23=" "),AND('Incongruenza 4 e controlli t14'!F21="OK",'Incongruenza 4 e controlli t14'!F23="OK"),AND('Incongruenza 4 e controlli t14'!F23="E' stata dichiarata IRAP Commerciale")),0,1)</f>
        <v>0</v>
      </c>
      <c r="G193" s="818"/>
      <c r="K193" s="820"/>
    </row>
    <row r="194" spans="1:11" s="819" customFormat="1" ht="12.75">
      <c r="A194" s="816"/>
      <c r="B194" s="817" t="s">
        <v>28</v>
      </c>
      <c r="C194" s="817">
        <f>IF(('t10'!$AU$15+'t10'!$AV$15)&gt;0,1,0)</f>
        <v>0</v>
      </c>
      <c r="D194" s="818"/>
      <c r="E194" s="817" t="s">
        <v>29</v>
      </c>
      <c r="F194" s="817">
        <f>IF(COUNTIF('Incongruenza 5'!G6:G14,"ERRORE")=0,0,1)</f>
        <v>0</v>
      </c>
      <c r="G194" s="818"/>
      <c r="K194" s="820"/>
    </row>
    <row r="195" spans="1:11" s="819" customFormat="1" ht="12.75">
      <c r="A195" s="816"/>
      <c r="B195" s="817" t="s">
        <v>30</v>
      </c>
      <c r="C195" s="817">
        <f>IF(('t11'!$U$17+'t11'!$V$17)&gt;0,1,0)</f>
        <v>0</v>
      </c>
      <c r="D195" s="818"/>
      <c r="E195" s="817" t="s">
        <v>31</v>
      </c>
      <c r="F195" s="817">
        <f>IF(COUNTIF('Incongruenza 6'!E6:E14,"ERRORE")=0,0,1)</f>
        <v>0</v>
      </c>
      <c r="G195" s="818"/>
      <c r="K195" s="820"/>
    </row>
    <row r="196" spans="1:11" s="819" customFormat="1" ht="12.75">
      <c r="A196" s="816"/>
      <c r="B196" s="817" t="s">
        <v>32</v>
      </c>
      <c r="C196" s="817">
        <f>IF(('t12'!$K$15+'t12'!$C$15)&gt;0,1,0)</f>
        <v>0</v>
      </c>
      <c r="D196" s="818"/>
      <c r="E196" s="817" t="s">
        <v>33</v>
      </c>
      <c r="F196" s="817">
        <f>IF(COUNTIF('Incongruenza 7'!I6:I14,"ERRORE")=0,0,1)</f>
        <v>0</v>
      </c>
      <c r="G196" s="818"/>
      <c r="K196" s="820"/>
    </row>
    <row r="197" spans="1:11" s="819" customFormat="1" ht="12.75">
      <c r="A197" s="816"/>
      <c r="B197" s="817" t="s">
        <v>34</v>
      </c>
      <c r="C197" s="817">
        <f>IF(('t13'!L15)&gt;0,1,0)</f>
        <v>0</v>
      </c>
      <c r="D197" s="818"/>
      <c r="E197" s="817" t="s">
        <v>363</v>
      </c>
      <c r="F197" s="817">
        <f>IF(COUNTIF('Incongruenza 8'!J6:J14,"ERRORE")=0,0,1)</f>
        <v>0</v>
      </c>
      <c r="G197" s="818"/>
      <c r="K197" s="820"/>
    </row>
    <row r="198" spans="1:7" s="819" customFormat="1" ht="12.75">
      <c r="A198" s="816"/>
      <c r="B198" s="817" t="s">
        <v>35</v>
      </c>
      <c r="C198" s="817">
        <f>IF(('Incongruenza 4 e controlli t14'!$C$31)&gt;0,1,0)</f>
        <v>0</v>
      </c>
      <c r="D198" s="818"/>
      <c r="E198" s="817" t="s">
        <v>510</v>
      </c>
      <c r="F198" s="817">
        <f>IF(COUNTIF('Incongruenze 1 e 11'!D13:D20,"OK")=6,0,1)</f>
        <v>0</v>
      </c>
      <c r="G198" s="818"/>
    </row>
    <row r="199" spans="1:7" s="819" customFormat="1" ht="12.75">
      <c r="A199" s="816"/>
      <c r="B199" s="817" t="s">
        <v>451</v>
      </c>
      <c r="C199" s="817">
        <f>IF(('Tabella Riconciliazione'!$F$32)&gt;0,1,0)</f>
        <v>0</v>
      </c>
      <c r="D199" s="818"/>
      <c r="E199" s="817" t="s">
        <v>511</v>
      </c>
      <c r="F199" s="817">
        <f>IF(COUNTIF('Incongruenze 3, 12 e 13'!D13:D14,"OK")=2,0,1)</f>
        <v>0</v>
      </c>
      <c r="G199" s="818"/>
    </row>
    <row r="200" spans="1:7" s="819" customFormat="1" ht="12.75">
      <c r="A200" s="816"/>
      <c r="B200" s="818"/>
      <c r="C200" s="818"/>
      <c r="D200" s="818"/>
      <c r="E200" s="817" t="s">
        <v>512</v>
      </c>
      <c r="F200" s="817">
        <f>IF(COUNTIF('Incongruenze 3, 12 e 13'!D20,"OK")=1,0,1)</f>
        <v>0</v>
      </c>
      <c r="G200" s="818"/>
    </row>
    <row r="201" spans="1:7" s="819" customFormat="1" ht="12.75">
      <c r="A201" s="816"/>
      <c r="B201" s="818"/>
      <c r="C201" s="818"/>
      <c r="D201" s="818"/>
      <c r="E201" s="817" t="s">
        <v>513</v>
      </c>
      <c r="F201" s="817">
        <f>IF(COUNTIF('Incongruenza 14'!G6:G14,"ERRORE")=0,0,1)</f>
        <v>0</v>
      </c>
      <c r="G201" s="818"/>
    </row>
    <row r="202" spans="1:7" s="819" customFormat="1" ht="12.75">
      <c r="A202" s="816"/>
      <c r="B202" s="818"/>
      <c r="C202" s="818"/>
      <c r="D202" s="818"/>
      <c r="E202" s="818" t="s">
        <v>527</v>
      </c>
      <c r="F202" s="818">
        <f>IF(('t12'!$AK$5)&gt;0,1,0)</f>
        <v>0</v>
      </c>
      <c r="G202" s="818"/>
    </row>
    <row r="203" spans="1:7" s="819" customFormat="1" ht="12.75">
      <c r="A203" s="816"/>
      <c r="B203" s="818"/>
      <c r="C203" s="818"/>
      <c r="D203" s="818"/>
      <c r="E203" s="818"/>
      <c r="F203" s="818"/>
      <c r="G203" s="818"/>
    </row>
    <row r="204" spans="1:7" s="819" customFormat="1" ht="12.75">
      <c r="A204" s="816"/>
      <c r="B204" s="818"/>
      <c r="C204" s="818"/>
      <c r="D204" s="818"/>
      <c r="E204" s="818"/>
      <c r="F204" s="818"/>
      <c r="G204" s="818"/>
    </row>
    <row r="205" spans="1:7" s="819" customFormat="1" ht="12.75">
      <c r="A205" s="816"/>
      <c r="B205" s="818"/>
      <c r="C205" s="818"/>
      <c r="D205" s="818"/>
      <c r="E205" s="818"/>
      <c r="F205" s="818"/>
      <c r="G205" s="818"/>
    </row>
    <row r="206" spans="1:7" s="819" customFormat="1" ht="12.75">
      <c r="A206" s="816"/>
      <c r="B206" s="818"/>
      <c r="C206" s="818"/>
      <c r="D206" s="818"/>
      <c r="E206" s="818"/>
      <c r="F206" s="818"/>
      <c r="G206" s="818"/>
    </row>
    <row r="207" spans="1:7" s="819" customFormat="1" ht="12.75">
      <c r="A207" s="816"/>
      <c r="B207" s="818"/>
      <c r="C207" s="818"/>
      <c r="D207" s="818"/>
      <c r="E207" s="388"/>
      <c r="F207" s="388"/>
      <c r="G207" s="818"/>
    </row>
    <row r="208" spans="1:7" s="492" customFormat="1" ht="12.75">
      <c r="A208" s="491"/>
      <c r="B208" s="388"/>
      <c r="C208" s="388"/>
      <c r="D208" s="388"/>
      <c r="E208" s="388"/>
      <c r="F208" s="388"/>
      <c r="G208" s="388"/>
    </row>
    <row r="209" spans="1:7" s="492" customFormat="1" ht="12.75">
      <c r="A209" s="491"/>
      <c r="B209" s="388"/>
      <c r="C209" s="388"/>
      <c r="D209" s="388"/>
      <c r="E209" s="388"/>
      <c r="F209" s="388"/>
      <c r="G209" s="388"/>
    </row>
    <row r="210" spans="1:7" s="492" customFormat="1" ht="12.75">
      <c r="A210" s="491"/>
      <c r="B210" s="388"/>
      <c r="C210" s="388"/>
      <c r="D210" s="388"/>
      <c r="E210" s="388"/>
      <c r="F210" s="388"/>
      <c r="G210" s="388"/>
    </row>
    <row r="211" spans="1:7" s="492" customFormat="1" ht="12.75">
      <c r="A211" s="491"/>
      <c r="B211" s="388"/>
      <c r="C211" s="388"/>
      <c r="D211" s="388"/>
      <c r="E211" s="388"/>
      <c r="F211" s="388"/>
      <c r="G211" s="388"/>
    </row>
    <row r="212" spans="1:7" s="492" customFormat="1" ht="12.75">
      <c r="A212" s="491"/>
      <c r="B212" s="388"/>
      <c r="C212" s="388"/>
      <c r="D212" s="388"/>
      <c r="E212" s="388"/>
      <c r="F212" s="388"/>
      <c r="G212" s="388"/>
    </row>
    <row r="213" spans="1:7" s="492" customFormat="1" ht="12.75">
      <c r="A213" s="491"/>
      <c r="B213" s="388"/>
      <c r="C213" s="388"/>
      <c r="D213" s="388"/>
      <c r="E213" s="388"/>
      <c r="F213" s="388"/>
      <c r="G213" s="388"/>
    </row>
    <row r="214" spans="1:7" s="492" customFormat="1" ht="12.75">
      <c r="A214" s="491"/>
      <c r="B214" s="388"/>
      <c r="C214" s="388"/>
      <c r="D214" s="388"/>
      <c r="E214" s="388"/>
      <c r="F214" s="388"/>
      <c r="G214" s="388"/>
    </row>
    <row r="215" spans="1:7" s="492" customFormat="1" ht="12.75">
      <c r="A215" s="491"/>
      <c r="B215" s="388"/>
      <c r="C215" s="388"/>
      <c r="D215" s="388"/>
      <c r="E215" s="388"/>
      <c r="F215" s="388"/>
      <c r="G215" s="388"/>
    </row>
    <row r="216" spans="1:7" s="492" customFormat="1" ht="12.75">
      <c r="A216" s="491"/>
      <c r="B216" s="388"/>
      <c r="C216" s="388"/>
      <c r="D216" s="388"/>
      <c r="E216" s="388"/>
      <c r="F216" s="388"/>
      <c r="G216" s="388"/>
    </row>
    <row r="217" spans="1:7" s="492" customFormat="1" ht="12.75">
      <c r="A217" s="491"/>
      <c r="B217" s="388"/>
      <c r="C217" s="388"/>
      <c r="D217" s="388"/>
      <c r="E217" s="388"/>
      <c r="F217" s="388"/>
      <c r="G217" s="388"/>
    </row>
    <row r="218" spans="1:7" s="492" customFormat="1" ht="12.75">
      <c r="A218" s="491"/>
      <c r="B218" s="388"/>
      <c r="C218" s="388"/>
      <c r="D218" s="388"/>
      <c r="E218" s="388"/>
      <c r="F218" s="388"/>
      <c r="G218" s="388"/>
    </row>
    <row r="219" spans="1:7" s="492" customFormat="1" ht="12.75">
      <c r="A219" s="491"/>
      <c r="B219" s="388"/>
      <c r="C219" s="388"/>
      <c r="D219" s="388"/>
      <c r="E219" s="388"/>
      <c r="F219" s="388"/>
      <c r="G219" s="388"/>
    </row>
    <row r="220" spans="1:7" s="492" customFormat="1" ht="12.75">
      <c r="A220" s="491"/>
      <c r="B220" s="388"/>
      <c r="C220" s="388"/>
      <c r="D220" s="388"/>
      <c r="E220" s="388"/>
      <c r="F220" s="388"/>
      <c r="G220" s="388"/>
    </row>
    <row r="221" spans="1:7" s="492" customFormat="1" ht="12.75">
      <c r="A221" s="491"/>
      <c r="B221" s="388"/>
      <c r="C221" s="388"/>
      <c r="D221" s="388"/>
      <c r="E221" s="388"/>
      <c r="F221" s="388"/>
      <c r="G221" s="388"/>
    </row>
    <row r="222" spans="1:7" s="492" customFormat="1" ht="12.75">
      <c r="A222" s="491"/>
      <c r="B222" s="388"/>
      <c r="C222" s="388"/>
      <c r="D222" s="388"/>
      <c r="E222" s="388"/>
      <c r="F222" s="388"/>
      <c r="G222" s="388"/>
    </row>
    <row r="223" spans="1:7" s="492" customFormat="1" ht="12.75">
      <c r="A223" s="491"/>
      <c r="B223" s="388"/>
      <c r="C223" s="388"/>
      <c r="D223" s="388"/>
      <c r="E223" s="388"/>
      <c r="F223" s="388"/>
      <c r="G223" s="388"/>
    </row>
    <row r="224" spans="1:7" s="492" customFormat="1" ht="12.75">
      <c r="A224" s="491"/>
      <c r="B224" s="388"/>
      <c r="C224" s="388"/>
      <c r="D224" s="388"/>
      <c r="E224" s="388"/>
      <c r="F224" s="388"/>
      <c r="G224" s="388"/>
    </row>
    <row r="225" spans="1:7" s="492" customFormat="1" ht="12.75">
      <c r="A225" s="491"/>
      <c r="B225" s="388"/>
      <c r="C225" s="388"/>
      <c r="D225" s="388"/>
      <c r="E225" s="388"/>
      <c r="F225" s="388"/>
      <c r="G225" s="388"/>
    </row>
    <row r="226" spans="1:7" s="492" customFormat="1" ht="12.75">
      <c r="A226" s="491"/>
      <c r="B226" s="388"/>
      <c r="C226" s="388"/>
      <c r="D226" s="388"/>
      <c r="E226" s="388"/>
      <c r="F226" s="388"/>
      <c r="G226" s="388"/>
    </row>
    <row r="227" spans="1:7" s="492" customFormat="1" ht="12.75">
      <c r="A227" s="491"/>
      <c r="B227" s="388"/>
      <c r="C227" s="388"/>
      <c r="D227" s="388"/>
      <c r="E227" s="388"/>
      <c r="F227" s="388"/>
      <c r="G227" s="388"/>
    </row>
    <row r="228" spans="1:7" s="492" customFormat="1" ht="12.75">
      <c r="A228" s="491"/>
      <c r="B228" s="388"/>
      <c r="C228" s="388"/>
      <c r="D228" s="388"/>
      <c r="E228" s="388"/>
      <c r="F228" s="388"/>
      <c r="G228" s="388"/>
    </row>
    <row r="229" spans="1:7" s="492" customFormat="1" ht="12.75">
      <c r="A229" s="491"/>
      <c r="B229" s="388"/>
      <c r="C229" s="388"/>
      <c r="D229" s="388"/>
      <c r="E229" s="388"/>
      <c r="F229" s="388"/>
      <c r="G229" s="388"/>
    </row>
    <row r="230" spans="1:7" s="492" customFormat="1" ht="12.75">
      <c r="A230" s="491"/>
      <c r="B230" s="388"/>
      <c r="C230" s="388"/>
      <c r="D230" s="388"/>
      <c r="E230" s="388"/>
      <c r="F230" s="388"/>
      <c r="G230" s="388"/>
    </row>
    <row r="231" spans="1:7" s="492" customFormat="1" ht="12.75">
      <c r="A231" s="491"/>
      <c r="B231" s="388"/>
      <c r="C231" s="388"/>
      <c r="D231" s="388"/>
      <c r="E231" s="388"/>
      <c r="F231" s="388"/>
      <c r="G231" s="388"/>
    </row>
    <row r="232" spans="1:7" s="492" customFormat="1" ht="12.75">
      <c r="A232" s="491"/>
      <c r="B232" s="388"/>
      <c r="C232" s="388"/>
      <c r="D232" s="388"/>
      <c r="E232" s="388"/>
      <c r="F232" s="388"/>
      <c r="G232" s="388"/>
    </row>
    <row r="233" spans="1:7" s="492" customFormat="1" ht="12.75">
      <c r="A233" s="491"/>
      <c r="B233" s="388"/>
      <c r="C233" s="388"/>
      <c r="D233" s="388"/>
      <c r="E233" s="388"/>
      <c r="F233" s="388"/>
      <c r="G233" s="388"/>
    </row>
    <row r="234" spans="1:7" s="492" customFormat="1" ht="12.75">
      <c r="A234" s="491"/>
      <c r="B234" s="388"/>
      <c r="C234" s="388"/>
      <c r="D234" s="388"/>
      <c r="E234" s="388"/>
      <c r="F234" s="388"/>
      <c r="G234" s="388"/>
    </row>
    <row r="235" spans="1:7" s="492" customFormat="1" ht="12.75">
      <c r="A235" s="491"/>
      <c r="B235" s="388"/>
      <c r="C235" s="388"/>
      <c r="D235" s="388"/>
      <c r="E235" s="388"/>
      <c r="F235" s="388"/>
      <c r="G235" s="388"/>
    </row>
    <row r="236" spans="1:7" s="492" customFormat="1" ht="12.75">
      <c r="A236" s="491"/>
      <c r="B236" s="388"/>
      <c r="C236" s="388"/>
      <c r="D236" s="388"/>
      <c r="E236" s="388"/>
      <c r="F236" s="388"/>
      <c r="G236" s="388"/>
    </row>
    <row r="237" spans="1:7" s="492" customFormat="1" ht="12.75">
      <c r="A237" s="491"/>
      <c r="B237" s="388"/>
      <c r="C237" s="388"/>
      <c r="D237" s="388"/>
      <c r="E237" s="388"/>
      <c r="F237" s="388"/>
      <c r="G237" s="388"/>
    </row>
    <row r="238" spans="1:7" s="492" customFormat="1" ht="12.75">
      <c r="A238" s="491"/>
      <c r="B238" s="388"/>
      <c r="C238" s="388"/>
      <c r="D238" s="388"/>
      <c r="E238" s="388"/>
      <c r="F238" s="388"/>
      <c r="G238" s="388"/>
    </row>
    <row r="239" spans="1:7" s="492" customFormat="1" ht="12.75">
      <c r="A239" s="491"/>
      <c r="B239" s="388"/>
      <c r="C239" s="388"/>
      <c r="D239" s="388"/>
      <c r="E239" s="388"/>
      <c r="F239" s="388"/>
      <c r="G239" s="388"/>
    </row>
    <row r="240" spans="1:7" s="492" customFormat="1" ht="12.75">
      <c r="A240" s="491"/>
      <c r="B240" s="388"/>
      <c r="C240" s="388"/>
      <c r="D240" s="388"/>
      <c r="E240" s="388"/>
      <c r="F240" s="388"/>
      <c r="G240" s="388"/>
    </row>
    <row r="241" spans="1:7" s="492" customFormat="1" ht="12.75">
      <c r="A241" s="491"/>
      <c r="B241" s="388"/>
      <c r="C241" s="388"/>
      <c r="D241" s="388"/>
      <c r="E241" s="388"/>
      <c r="F241" s="388"/>
      <c r="G241" s="388"/>
    </row>
    <row r="242" spans="1:7" s="492" customFormat="1" ht="12.75">
      <c r="A242" s="491"/>
      <c r="B242" s="388"/>
      <c r="C242" s="388"/>
      <c r="D242" s="388"/>
      <c r="E242" s="388"/>
      <c r="F242" s="388"/>
      <c r="G242" s="388"/>
    </row>
    <row r="243" spans="1:7" s="492" customFormat="1" ht="12.75">
      <c r="A243" s="491"/>
      <c r="B243" s="388"/>
      <c r="C243" s="388"/>
      <c r="D243" s="388"/>
      <c r="E243" s="388"/>
      <c r="F243" s="388"/>
      <c r="G243" s="388"/>
    </row>
    <row r="244" spans="1:7" s="492" customFormat="1" ht="12.75">
      <c r="A244" s="491"/>
      <c r="B244" s="388"/>
      <c r="C244" s="388"/>
      <c r="D244" s="388"/>
      <c r="E244" s="388"/>
      <c r="F244" s="388"/>
      <c r="G244" s="388"/>
    </row>
    <row r="245" spans="1:7" s="492" customFormat="1" ht="12.75">
      <c r="A245" s="491"/>
      <c r="B245" s="388"/>
      <c r="C245" s="388"/>
      <c r="D245" s="388"/>
      <c r="E245" s="388"/>
      <c r="F245" s="388"/>
      <c r="G245" s="388"/>
    </row>
    <row r="246" spans="1:7" s="492" customFormat="1" ht="12.75">
      <c r="A246" s="491"/>
      <c r="B246" s="388"/>
      <c r="C246" s="388"/>
      <c r="D246" s="388"/>
      <c r="E246" s="388"/>
      <c r="F246" s="388"/>
      <c r="G246" s="388"/>
    </row>
    <row r="247" spans="1:7" s="492" customFormat="1" ht="12.75">
      <c r="A247" s="491"/>
      <c r="B247" s="388"/>
      <c r="C247" s="388"/>
      <c r="D247" s="388"/>
      <c r="E247" s="388"/>
      <c r="F247" s="388"/>
      <c r="G247" s="388"/>
    </row>
    <row r="248" spans="1:7" s="492" customFormat="1" ht="12.75">
      <c r="A248" s="491"/>
      <c r="B248" s="388"/>
      <c r="C248" s="388"/>
      <c r="D248" s="388"/>
      <c r="E248" s="388"/>
      <c r="F248" s="388"/>
      <c r="G248" s="388"/>
    </row>
    <row r="249" spans="1:7" s="492" customFormat="1" ht="12.75">
      <c r="A249" s="491"/>
      <c r="B249" s="388"/>
      <c r="C249" s="388"/>
      <c r="D249" s="388"/>
      <c r="E249" s="388"/>
      <c r="F249" s="388"/>
      <c r="G249" s="388"/>
    </row>
    <row r="250" spans="1:7" s="492" customFormat="1" ht="12.75">
      <c r="A250" s="491"/>
      <c r="B250" s="388"/>
      <c r="C250" s="388"/>
      <c r="D250" s="388"/>
      <c r="E250" s="388"/>
      <c r="F250" s="388"/>
      <c r="G250" s="388"/>
    </row>
    <row r="251" spans="1:7" s="492" customFormat="1" ht="12.75">
      <c r="A251" s="491"/>
      <c r="B251" s="388"/>
      <c r="C251" s="388"/>
      <c r="D251" s="388"/>
      <c r="E251" s="388"/>
      <c r="F251" s="388"/>
      <c r="G251" s="388"/>
    </row>
    <row r="252" spans="1:7" s="492" customFormat="1" ht="12.75">
      <c r="A252" s="491"/>
      <c r="B252" s="388"/>
      <c r="C252" s="388"/>
      <c r="D252" s="388"/>
      <c r="E252" s="388"/>
      <c r="F252" s="388"/>
      <c r="G252" s="388"/>
    </row>
    <row r="253" spans="1:7" s="492" customFormat="1" ht="12.75">
      <c r="A253" s="491"/>
      <c r="B253" s="388"/>
      <c r="C253" s="388"/>
      <c r="D253" s="388"/>
      <c r="E253" s="388"/>
      <c r="F253" s="388"/>
      <c r="G253" s="388"/>
    </row>
    <row r="254" spans="1:7" s="492" customFormat="1" ht="12.75">
      <c r="A254" s="491"/>
      <c r="B254" s="388"/>
      <c r="C254" s="388"/>
      <c r="D254" s="388"/>
      <c r="E254" s="388"/>
      <c r="F254" s="388"/>
      <c r="G254" s="388"/>
    </row>
    <row r="255" spans="1:7" s="492" customFormat="1" ht="12.75">
      <c r="A255" s="491"/>
      <c r="B255" s="388"/>
      <c r="C255" s="388"/>
      <c r="D255" s="388"/>
      <c r="E255" s="388"/>
      <c r="F255" s="388"/>
      <c r="G255" s="388"/>
    </row>
    <row r="256" spans="1:7" s="492" customFormat="1" ht="12.75">
      <c r="A256" s="491"/>
      <c r="B256" s="388"/>
      <c r="C256" s="388"/>
      <c r="D256" s="388"/>
      <c r="E256" s="388"/>
      <c r="F256" s="388"/>
      <c r="G256" s="388"/>
    </row>
    <row r="257" spans="1:7" s="492" customFormat="1" ht="12.75">
      <c r="A257" s="491"/>
      <c r="B257" s="388"/>
      <c r="C257" s="388"/>
      <c r="D257" s="388"/>
      <c r="E257" s="388"/>
      <c r="F257" s="388"/>
      <c r="G257" s="388"/>
    </row>
    <row r="258" spans="1:7" s="492" customFormat="1" ht="12.75">
      <c r="A258" s="491"/>
      <c r="B258" s="388"/>
      <c r="C258" s="388"/>
      <c r="D258" s="388"/>
      <c r="E258" s="388"/>
      <c r="F258" s="388"/>
      <c r="G258" s="388"/>
    </row>
    <row r="259" spans="1:7" s="492" customFormat="1" ht="12.75">
      <c r="A259" s="491"/>
      <c r="B259" s="388"/>
      <c r="C259" s="388"/>
      <c r="D259" s="388"/>
      <c r="E259" s="388"/>
      <c r="F259" s="388"/>
      <c r="G259" s="388"/>
    </row>
    <row r="260" spans="1:7" s="492" customFormat="1" ht="12.75">
      <c r="A260" s="491"/>
      <c r="B260" s="388"/>
      <c r="C260" s="388"/>
      <c r="D260" s="388"/>
      <c r="E260" s="388"/>
      <c r="F260" s="388"/>
      <c r="G260" s="388"/>
    </row>
    <row r="261" spans="1:7" s="492" customFormat="1" ht="12.75">
      <c r="A261" s="491"/>
      <c r="B261" s="388"/>
      <c r="C261" s="388"/>
      <c r="D261" s="388"/>
      <c r="E261" s="388"/>
      <c r="F261" s="388"/>
      <c r="G261" s="388"/>
    </row>
    <row r="262" spans="1:7" s="492" customFormat="1" ht="12.75">
      <c r="A262" s="491"/>
      <c r="B262" s="388"/>
      <c r="C262" s="388"/>
      <c r="D262" s="388"/>
      <c r="E262" s="388"/>
      <c r="F262" s="388"/>
      <c r="G262" s="388"/>
    </row>
    <row r="263" spans="1:7" s="492" customFormat="1" ht="12.75">
      <c r="A263" s="491"/>
      <c r="B263" s="388"/>
      <c r="C263" s="388"/>
      <c r="D263" s="388"/>
      <c r="E263" s="388"/>
      <c r="F263" s="388"/>
      <c r="G263" s="388"/>
    </row>
    <row r="264" spans="1:7" s="492" customFormat="1" ht="12.75">
      <c r="A264" s="491"/>
      <c r="B264" s="388"/>
      <c r="C264" s="388"/>
      <c r="D264" s="388"/>
      <c r="E264" s="388"/>
      <c r="F264" s="388"/>
      <c r="G264" s="388"/>
    </row>
    <row r="265" spans="1:7" s="492" customFormat="1" ht="12.75">
      <c r="A265" s="491"/>
      <c r="B265" s="388"/>
      <c r="C265" s="388"/>
      <c r="D265" s="388"/>
      <c r="E265" s="388"/>
      <c r="F265" s="388"/>
      <c r="G265" s="388"/>
    </row>
    <row r="266" spans="1:7" s="492" customFormat="1" ht="12.75">
      <c r="A266" s="491"/>
      <c r="B266" s="388"/>
      <c r="C266" s="388"/>
      <c r="D266" s="388"/>
      <c r="E266" s="388"/>
      <c r="F266" s="388"/>
      <c r="G266" s="388"/>
    </row>
    <row r="267" spans="1:7" s="492" customFormat="1" ht="12.75">
      <c r="A267" s="491"/>
      <c r="B267" s="388"/>
      <c r="C267" s="388"/>
      <c r="D267" s="388"/>
      <c r="E267" s="388"/>
      <c r="F267" s="388"/>
      <c r="G267" s="388"/>
    </row>
    <row r="268" spans="1:7" s="492" customFormat="1" ht="12.75">
      <c r="A268" s="491"/>
      <c r="B268" s="388"/>
      <c r="C268" s="388"/>
      <c r="D268" s="388"/>
      <c r="E268" s="388"/>
      <c r="F268" s="388"/>
      <c r="G268" s="388"/>
    </row>
    <row r="269" spans="1:7" s="492" customFormat="1" ht="12.75">
      <c r="A269" s="491"/>
      <c r="B269" s="388"/>
      <c r="C269" s="388"/>
      <c r="D269" s="388"/>
      <c r="E269" s="388"/>
      <c r="F269" s="388"/>
      <c r="G269" s="388"/>
    </row>
    <row r="270" spans="1:7" s="492" customFormat="1" ht="12.75">
      <c r="A270" s="491"/>
      <c r="B270" s="388"/>
      <c r="C270" s="388"/>
      <c r="D270" s="388"/>
      <c r="E270" s="388"/>
      <c r="F270" s="388"/>
      <c r="G270" s="388"/>
    </row>
    <row r="271" spans="1:7" s="492" customFormat="1" ht="12.75">
      <c r="A271" s="491"/>
      <c r="B271" s="388"/>
      <c r="C271" s="388"/>
      <c r="D271" s="388"/>
      <c r="E271" s="388"/>
      <c r="F271" s="388"/>
      <c r="G271" s="388"/>
    </row>
    <row r="272" spans="1:7" s="492" customFormat="1" ht="12.75">
      <c r="A272" s="491"/>
      <c r="B272" s="388"/>
      <c r="C272" s="388"/>
      <c r="D272" s="388"/>
      <c r="E272" s="388"/>
      <c r="F272" s="388"/>
      <c r="G272" s="388"/>
    </row>
    <row r="273" spans="1:7" s="492" customFormat="1" ht="12.75">
      <c r="A273" s="491"/>
      <c r="B273" s="388"/>
      <c r="C273" s="388"/>
      <c r="D273" s="388"/>
      <c r="E273" s="388"/>
      <c r="F273" s="388"/>
      <c r="G273" s="388"/>
    </row>
    <row r="274" spans="1:7" s="492" customFormat="1" ht="12.75">
      <c r="A274" s="491"/>
      <c r="B274" s="388"/>
      <c r="C274" s="388"/>
      <c r="D274" s="388"/>
      <c r="E274" s="388"/>
      <c r="F274" s="388"/>
      <c r="G274" s="388"/>
    </row>
    <row r="275" spans="1:7" s="492" customFormat="1" ht="12.75">
      <c r="A275" s="491"/>
      <c r="B275" s="388"/>
      <c r="C275" s="388"/>
      <c r="D275" s="388"/>
      <c r="E275" s="388"/>
      <c r="F275" s="388"/>
      <c r="G275" s="388"/>
    </row>
    <row r="276" spans="1:7" s="492" customFormat="1" ht="12.75">
      <c r="A276" s="491"/>
      <c r="B276" s="388"/>
      <c r="C276" s="388"/>
      <c r="D276" s="388"/>
      <c r="E276" s="388"/>
      <c r="F276" s="388"/>
      <c r="G276" s="388"/>
    </row>
    <row r="277" spans="1:7" s="492" customFormat="1" ht="12.75">
      <c r="A277" s="491"/>
      <c r="B277" s="388"/>
      <c r="C277" s="388"/>
      <c r="D277" s="388"/>
      <c r="E277" s="388"/>
      <c r="F277" s="388"/>
      <c r="G277" s="388"/>
    </row>
    <row r="278" spans="1:7" s="492" customFormat="1" ht="12.75">
      <c r="A278" s="491"/>
      <c r="B278" s="388"/>
      <c r="C278" s="388"/>
      <c r="D278" s="388"/>
      <c r="E278" s="388"/>
      <c r="F278" s="388"/>
      <c r="G278" s="388"/>
    </row>
    <row r="279" spans="1:7" s="492" customFormat="1" ht="12.75">
      <c r="A279" s="491"/>
      <c r="B279" s="388"/>
      <c r="C279" s="388"/>
      <c r="D279" s="388"/>
      <c r="E279" s="388"/>
      <c r="F279" s="388"/>
      <c r="G279" s="388"/>
    </row>
    <row r="280" spans="1:7" s="492" customFormat="1" ht="12.75">
      <c r="A280" s="491"/>
      <c r="B280" s="388"/>
      <c r="C280" s="388"/>
      <c r="D280" s="388"/>
      <c r="E280" s="388"/>
      <c r="F280" s="388"/>
      <c r="G280" s="388"/>
    </row>
    <row r="281" spans="1:7" s="492" customFormat="1" ht="12.75">
      <c r="A281" s="491"/>
      <c r="B281" s="388"/>
      <c r="C281" s="388"/>
      <c r="D281" s="388"/>
      <c r="E281" s="388"/>
      <c r="F281" s="388"/>
      <c r="G281" s="388"/>
    </row>
    <row r="282" spans="1:7" s="492" customFormat="1" ht="12.75">
      <c r="A282" s="491"/>
      <c r="B282" s="388"/>
      <c r="C282" s="388"/>
      <c r="D282" s="388"/>
      <c r="E282" s="388"/>
      <c r="F282" s="388"/>
      <c r="G282" s="388"/>
    </row>
    <row r="283" spans="1:7" s="492" customFormat="1" ht="12.75">
      <c r="A283" s="491"/>
      <c r="B283" s="388"/>
      <c r="C283" s="388"/>
      <c r="D283" s="388"/>
      <c r="E283" s="388"/>
      <c r="F283" s="388"/>
      <c r="G283" s="388"/>
    </row>
    <row r="284" spans="1:7" s="492" customFormat="1" ht="12.75">
      <c r="A284" s="491"/>
      <c r="B284" s="388"/>
      <c r="C284" s="388"/>
      <c r="D284" s="388"/>
      <c r="E284" s="388"/>
      <c r="F284" s="388"/>
      <c r="G284" s="388"/>
    </row>
    <row r="285" spans="1:7" s="492" customFormat="1" ht="12.75">
      <c r="A285" s="491"/>
      <c r="B285" s="388"/>
      <c r="C285" s="388"/>
      <c r="D285" s="388"/>
      <c r="E285" s="388"/>
      <c r="F285" s="388"/>
      <c r="G285" s="388"/>
    </row>
    <row r="286" spans="1:7" s="492" customFormat="1" ht="12.75">
      <c r="A286" s="491"/>
      <c r="B286" s="388"/>
      <c r="C286" s="388"/>
      <c r="D286" s="388"/>
      <c r="E286" s="388"/>
      <c r="F286" s="388"/>
      <c r="G286" s="388"/>
    </row>
    <row r="287" spans="1:7" s="492" customFormat="1" ht="12.75">
      <c r="A287" s="491"/>
      <c r="B287" s="388"/>
      <c r="C287" s="388"/>
      <c r="D287" s="388"/>
      <c r="E287" s="388"/>
      <c r="F287" s="388"/>
      <c r="G287" s="388"/>
    </row>
    <row r="288" spans="1:7" s="492" customFormat="1" ht="12.75">
      <c r="A288" s="491"/>
      <c r="B288" s="388"/>
      <c r="C288" s="388"/>
      <c r="D288" s="388"/>
      <c r="E288" s="388"/>
      <c r="F288" s="388"/>
      <c r="G288" s="388"/>
    </row>
    <row r="289" spans="1:7" s="492" customFormat="1" ht="12.75">
      <c r="A289" s="491"/>
      <c r="B289" s="388"/>
      <c r="C289" s="388"/>
      <c r="D289" s="388"/>
      <c r="E289" s="388"/>
      <c r="F289" s="388"/>
      <c r="G289" s="388"/>
    </row>
    <row r="290" spans="1:7" s="492" customFormat="1" ht="12.75">
      <c r="A290" s="491"/>
      <c r="B290" s="388"/>
      <c r="C290" s="388"/>
      <c r="D290" s="388"/>
      <c r="E290" s="388"/>
      <c r="F290" s="388"/>
      <c r="G290" s="388"/>
    </row>
    <row r="291" spans="1:7" s="492" customFormat="1" ht="12.75">
      <c r="A291" s="491"/>
      <c r="B291" s="388"/>
      <c r="C291" s="388"/>
      <c r="D291" s="388"/>
      <c r="E291" s="388"/>
      <c r="F291" s="388"/>
      <c r="G291" s="388"/>
    </row>
    <row r="292" spans="1:7" s="492" customFormat="1" ht="12.75">
      <c r="A292" s="491"/>
      <c r="B292" s="388"/>
      <c r="C292" s="388"/>
      <c r="D292" s="388"/>
      <c r="E292" s="388"/>
      <c r="F292" s="388"/>
      <c r="G292" s="388"/>
    </row>
    <row r="293" spans="1:7" s="492" customFormat="1" ht="12.75">
      <c r="A293" s="491"/>
      <c r="B293" s="388"/>
      <c r="C293" s="388"/>
      <c r="D293" s="388"/>
      <c r="E293" s="388"/>
      <c r="F293" s="388"/>
      <c r="G293" s="388"/>
    </row>
    <row r="294" spans="1:7" s="492" customFormat="1" ht="12.75">
      <c r="A294" s="491"/>
      <c r="B294" s="388"/>
      <c r="C294" s="388"/>
      <c r="D294" s="388"/>
      <c r="E294" s="388"/>
      <c r="F294" s="388"/>
      <c r="G294" s="388"/>
    </row>
    <row r="295" spans="1:7" s="492" customFormat="1" ht="12.75">
      <c r="A295" s="491"/>
      <c r="B295" s="388"/>
      <c r="C295" s="388"/>
      <c r="D295" s="388"/>
      <c r="E295" s="388"/>
      <c r="F295" s="388"/>
      <c r="G295" s="388"/>
    </row>
    <row r="296" spans="1:7" s="492" customFormat="1" ht="12.75">
      <c r="A296" s="491"/>
      <c r="B296" s="388"/>
      <c r="C296" s="388"/>
      <c r="D296" s="388"/>
      <c r="E296" s="388"/>
      <c r="F296" s="388"/>
      <c r="G296" s="388"/>
    </row>
    <row r="297" spans="1:7" s="492" customFormat="1" ht="12.75">
      <c r="A297" s="491"/>
      <c r="B297" s="388"/>
      <c r="C297" s="388"/>
      <c r="D297" s="388"/>
      <c r="E297" s="388"/>
      <c r="F297" s="388"/>
      <c r="G297" s="388"/>
    </row>
    <row r="298" spans="1:7" s="492" customFormat="1" ht="12.75">
      <c r="A298" s="491"/>
      <c r="B298" s="388"/>
      <c r="C298" s="388"/>
      <c r="D298" s="388"/>
      <c r="E298" s="388"/>
      <c r="F298" s="388"/>
      <c r="G298" s="388"/>
    </row>
    <row r="299" spans="1:7" s="492" customFormat="1" ht="12.75">
      <c r="A299" s="491"/>
      <c r="B299" s="388"/>
      <c r="C299" s="388"/>
      <c r="D299" s="388"/>
      <c r="E299" s="388"/>
      <c r="F299" s="388"/>
      <c r="G299" s="388"/>
    </row>
    <row r="300" spans="1:7" s="492" customFormat="1" ht="12.75">
      <c r="A300" s="491"/>
      <c r="B300" s="388"/>
      <c r="C300" s="388"/>
      <c r="D300" s="388"/>
      <c r="E300" s="388"/>
      <c r="F300" s="388"/>
      <c r="G300" s="388"/>
    </row>
    <row r="301" spans="1:7" s="492" customFormat="1" ht="12.75">
      <c r="A301" s="491"/>
      <c r="B301" s="388"/>
      <c r="C301" s="388"/>
      <c r="D301" s="388"/>
      <c r="E301" s="388"/>
      <c r="F301" s="388"/>
      <c r="G301" s="388"/>
    </row>
    <row r="302" spans="1:7" s="492" customFormat="1" ht="12.75">
      <c r="A302" s="491"/>
      <c r="B302" s="388"/>
      <c r="C302" s="388"/>
      <c r="D302" s="388"/>
      <c r="E302" s="388"/>
      <c r="F302" s="388"/>
      <c r="G302" s="388"/>
    </row>
    <row r="303" spans="1:7" s="492" customFormat="1" ht="12.75">
      <c r="A303" s="491"/>
      <c r="B303" s="388"/>
      <c r="C303" s="388"/>
      <c r="D303" s="388"/>
      <c r="E303" s="388"/>
      <c r="F303" s="388"/>
      <c r="G303" s="388"/>
    </row>
    <row r="304" spans="1:7" s="492" customFormat="1" ht="12.75">
      <c r="A304" s="491"/>
      <c r="B304" s="388"/>
      <c r="C304" s="388"/>
      <c r="D304" s="388"/>
      <c r="E304" s="388"/>
      <c r="F304" s="388"/>
      <c r="G304" s="388"/>
    </row>
    <row r="305" spans="1:7" s="492" customFormat="1" ht="12.75">
      <c r="A305" s="491"/>
      <c r="B305" s="388"/>
      <c r="C305" s="388"/>
      <c r="D305" s="388"/>
      <c r="E305" s="388"/>
      <c r="F305" s="388"/>
      <c r="G305" s="388"/>
    </row>
    <row r="306" spans="1:7" s="492" customFormat="1" ht="12.75">
      <c r="A306" s="491"/>
      <c r="B306" s="388"/>
      <c r="C306" s="388"/>
      <c r="D306" s="388"/>
      <c r="E306" s="388"/>
      <c r="F306" s="388"/>
      <c r="G306" s="388"/>
    </row>
    <row r="307" spans="1:7" s="492" customFormat="1" ht="12.75">
      <c r="A307" s="491"/>
      <c r="B307" s="388"/>
      <c r="C307" s="388"/>
      <c r="D307" s="388"/>
      <c r="E307" s="388"/>
      <c r="F307" s="388"/>
      <c r="G307" s="388"/>
    </row>
    <row r="308" spans="1:7" s="492" customFormat="1" ht="12.75">
      <c r="A308" s="491"/>
      <c r="B308" s="388"/>
      <c r="C308" s="388"/>
      <c r="D308" s="388"/>
      <c r="E308" s="388"/>
      <c r="F308" s="388"/>
      <c r="G308" s="388"/>
    </row>
    <row r="309" spans="1:7" s="492" customFormat="1" ht="12.75">
      <c r="A309" s="491"/>
      <c r="B309" s="388"/>
      <c r="C309" s="388"/>
      <c r="D309" s="388"/>
      <c r="E309" s="388"/>
      <c r="F309" s="388"/>
      <c r="G309" s="388"/>
    </row>
    <row r="310" spans="1:7" s="492" customFormat="1" ht="12.75">
      <c r="A310" s="491"/>
      <c r="B310" s="388"/>
      <c r="C310" s="388"/>
      <c r="D310" s="388"/>
      <c r="E310" s="388"/>
      <c r="F310" s="388"/>
      <c r="G310" s="388"/>
    </row>
    <row r="311" spans="1:7" s="492" customFormat="1" ht="12.75">
      <c r="A311" s="491"/>
      <c r="B311" s="388"/>
      <c r="C311" s="388"/>
      <c r="D311" s="388"/>
      <c r="E311" s="388"/>
      <c r="F311" s="388"/>
      <c r="G311" s="388"/>
    </row>
    <row r="312" spans="1:7" s="492" customFormat="1" ht="12.75">
      <c r="A312" s="491"/>
      <c r="B312" s="388"/>
      <c r="C312" s="388"/>
      <c r="D312" s="388"/>
      <c r="E312" s="388"/>
      <c r="F312" s="388"/>
      <c r="G312" s="388"/>
    </row>
    <row r="313" spans="1:7" s="492" customFormat="1" ht="12.75">
      <c r="A313" s="491"/>
      <c r="B313" s="388"/>
      <c r="C313" s="388"/>
      <c r="D313" s="388"/>
      <c r="E313" s="388"/>
      <c r="F313" s="388"/>
      <c r="G313" s="388"/>
    </row>
    <row r="314" spans="1:7" s="492" customFormat="1" ht="12.75">
      <c r="A314" s="491"/>
      <c r="B314" s="388"/>
      <c r="C314" s="388"/>
      <c r="D314" s="388"/>
      <c r="E314" s="388"/>
      <c r="F314" s="388"/>
      <c r="G314" s="388"/>
    </row>
    <row r="315" spans="1:7" s="492" customFormat="1" ht="12.75">
      <c r="A315" s="491"/>
      <c r="B315" s="388"/>
      <c r="C315" s="388"/>
      <c r="D315" s="388"/>
      <c r="E315" s="388"/>
      <c r="F315" s="388"/>
      <c r="G315" s="388"/>
    </row>
    <row r="316" spans="1:7" s="492" customFormat="1" ht="12.75">
      <c r="A316" s="491"/>
      <c r="B316" s="388"/>
      <c r="C316" s="388"/>
      <c r="D316" s="388"/>
      <c r="E316" s="388"/>
      <c r="F316" s="388"/>
      <c r="G316" s="388"/>
    </row>
    <row r="317" spans="1:7" s="492" customFormat="1" ht="12.75">
      <c r="A317" s="491"/>
      <c r="B317" s="388"/>
      <c r="C317" s="388"/>
      <c r="D317" s="388"/>
      <c r="E317" s="388"/>
      <c r="F317" s="388"/>
      <c r="G317" s="388"/>
    </row>
    <row r="318" spans="1:7" s="492" customFormat="1" ht="12.75">
      <c r="A318" s="491"/>
      <c r="B318" s="388"/>
      <c r="C318" s="388"/>
      <c r="D318" s="388"/>
      <c r="E318" s="388"/>
      <c r="F318" s="388"/>
      <c r="G318" s="388"/>
    </row>
    <row r="319" spans="1:7" s="492" customFormat="1" ht="12.75">
      <c r="A319" s="491"/>
      <c r="B319" s="388"/>
      <c r="C319" s="388"/>
      <c r="D319" s="388"/>
      <c r="E319" s="388"/>
      <c r="F319" s="388"/>
      <c r="G319" s="388"/>
    </row>
    <row r="320" spans="1:7" s="492" customFormat="1" ht="12.75">
      <c r="A320" s="491"/>
      <c r="B320" s="388"/>
      <c r="C320" s="388"/>
      <c r="D320" s="388"/>
      <c r="E320" s="388"/>
      <c r="F320" s="388"/>
      <c r="G320" s="388"/>
    </row>
    <row r="321" spans="1:7" s="492" customFormat="1" ht="12.75">
      <c r="A321" s="491"/>
      <c r="B321" s="388"/>
      <c r="C321" s="388"/>
      <c r="D321" s="388"/>
      <c r="E321" s="388"/>
      <c r="F321" s="388"/>
      <c r="G321" s="388"/>
    </row>
    <row r="322" spans="1:7" s="492" customFormat="1" ht="12.75">
      <c r="A322" s="491"/>
      <c r="B322" s="388"/>
      <c r="C322" s="388"/>
      <c r="D322" s="388"/>
      <c r="E322" s="388"/>
      <c r="F322" s="388"/>
      <c r="G322" s="388"/>
    </row>
    <row r="323" spans="1:7" s="492" customFormat="1" ht="12.75">
      <c r="A323" s="491"/>
      <c r="B323" s="388"/>
      <c r="C323" s="388"/>
      <c r="D323" s="388"/>
      <c r="E323" s="388"/>
      <c r="F323" s="388"/>
      <c r="G323" s="388"/>
    </row>
    <row r="324" spans="1:7" s="492" customFormat="1" ht="12.75">
      <c r="A324" s="491"/>
      <c r="B324" s="388"/>
      <c r="C324" s="388"/>
      <c r="D324" s="388"/>
      <c r="E324" s="388"/>
      <c r="F324" s="388"/>
      <c r="G324" s="388"/>
    </row>
    <row r="325" spans="1:7" s="492" customFormat="1" ht="12.75">
      <c r="A325" s="491"/>
      <c r="B325" s="362"/>
      <c r="C325" s="362"/>
      <c r="D325" s="388"/>
      <c r="E325" s="388"/>
      <c r="F325" s="388"/>
      <c r="G325" s="388"/>
    </row>
    <row r="326" spans="1:7" s="492" customFormat="1" ht="12.75">
      <c r="A326" s="491"/>
      <c r="B326" s="362"/>
      <c r="C326" s="362"/>
      <c r="D326" s="388"/>
      <c r="E326" s="388"/>
      <c r="F326" s="388"/>
      <c r="G326" s="388"/>
    </row>
    <row r="327" spans="1:7" s="492" customFormat="1" ht="12.75">
      <c r="A327" s="491"/>
      <c r="B327" s="362"/>
      <c r="C327" s="362"/>
      <c r="D327" s="388"/>
      <c r="E327" s="362"/>
      <c r="F327" s="362"/>
      <c r="G327" s="388"/>
    </row>
    <row r="328" spans="1:7" s="492" customFormat="1" ht="12.75">
      <c r="A328" s="491"/>
      <c r="B328" s="362"/>
      <c r="C328" s="362"/>
      <c r="D328" s="388"/>
      <c r="E328" s="362"/>
      <c r="F328" s="362"/>
      <c r="G328" s="388"/>
    </row>
    <row r="329" spans="1:7" s="492" customFormat="1" ht="12.75">
      <c r="A329" s="491"/>
      <c r="B329" s="362"/>
      <c r="C329" s="362"/>
      <c r="D329" s="388"/>
      <c r="E329" s="362"/>
      <c r="F329" s="362"/>
      <c r="G329" s="388"/>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E11:G11"/>
    <mergeCell ref="E12:G12"/>
    <mergeCell ref="F23:G23"/>
    <mergeCell ref="B145:F145"/>
    <mergeCell ref="B127:F127"/>
    <mergeCell ref="B130:F130"/>
    <mergeCell ref="B133:F133"/>
    <mergeCell ref="B136:F136"/>
    <mergeCell ref="B139:F139"/>
    <mergeCell ref="B142:F142"/>
    <mergeCell ref="C2:F2"/>
    <mergeCell ref="E8:G8"/>
    <mergeCell ref="E9:G9"/>
    <mergeCell ref="E10:G10"/>
    <mergeCell ref="C3:F3"/>
    <mergeCell ref="B6:G6"/>
    <mergeCell ref="B16:G16"/>
    <mergeCell ref="B185:G185"/>
    <mergeCell ref="B48:E48"/>
    <mergeCell ref="B41:G41"/>
    <mergeCell ref="B46:E46"/>
    <mergeCell ref="B50:E50"/>
    <mergeCell ref="B182:G182"/>
    <mergeCell ref="B180:G180"/>
    <mergeCell ref="B174:G174"/>
    <mergeCell ref="B175:G179"/>
    <mergeCell ref="B124:F124"/>
    <mergeCell ref="D26:E26"/>
    <mergeCell ref="F25:G25"/>
    <mergeCell ref="D25:E25"/>
    <mergeCell ref="B26:C26"/>
    <mergeCell ref="B106:F106"/>
    <mergeCell ref="B109:F109"/>
    <mergeCell ref="B103:F103"/>
    <mergeCell ref="B118:F118"/>
    <mergeCell ref="B121:F121"/>
    <mergeCell ref="F19:G19"/>
    <mergeCell ref="B22:C22"/>
    <mergeCell ref="D22:E22"/>
    <mergeCell ref="D19:E19"/>
    <mergeCell ref="B25:C25"/>
    <mergeCell ref="B24:C24"/>
    <mergeCell ref="F22:G22"/>
    <mergeCell ref="D24:E24"/>
    <mergeCell ref="B23:C23"/>
    <mergeCell ref="D15:G15"/>
    <mergeCell ref="B19:C19"/>
    <mergeCell ref="B82:F82"/>
    <mergeCell ref="B85:F85"/>
    <mergeCell ref="B33:C33"/>
    <mergeCell ref="D23:E23"/>
    <mergeCell ref="F24:G24"/>
    <mergeCell ref="B62:F62"/>
    <mergeCell ref="B39:C39"/>
    <mergeCell ref="F26:G26"/>
    <mergeCell ref="B88:F88"/>
    <mergeCell ref="B91:F91"/>
    <mergeCell ref="B94:F94"/>
    <mergeCell ref="B97:F97"/>
    <mergeCell ref="B100:F100"/>
    <mergeCell ref="B115:F115"/>
    <mergeCell ref="B112:F112"/>
    <mergeCell ref="B30:G30"/>
    <mergeCell ref="B44:E44"/>
    <mergeCell ref="B53:F53"/>
    <mergeCell ref="B56:F56"/>
    <mergeCell ref="B59:F59"/>
    <mergeCell ref="B34:C34"/>
    <mergeCell ref="B36:G36"/>
  </mergeCells>
  <dataValidations count="1">
    <dataValidation type="whole" allowBlank="1" showInputMessage="1" showErrorMessage="1" errorTitle="ATTENZIONE" error="INSERIRE SOLO VALORI NUMERICI INTERI" sqref="G118 G103 G115 G112 G109 G106 G97 G53 G91 G62 G82 G88 G59 G56 G100 G94 G85 G121 G124 G133 G130 G127 G136 G139 G142 G151 G145 G148 G169 G157 G160 G163 G166 G154">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Y1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60.66015625" style="5" customWidth="1"/>
    <col min="2" max="2" width="8.66015625" style="7" bestFit="1" customWidth="1"/>
    <col min="3" max="26" width="7.83203125" style="5" customWidth="1"/>
    <col min="27" max="48" width="8.5" style="5" customWidth="1"/>
    <col min="49" max="49" width="15.16015625" style="647" bestFit="1" customWidth="1"/>
    <col min="50" max="51" width="8.66015625" style="5" customWidth="1"/>
    <col min="52" max="16384" width="9.33203125" style="5" customWidth="1"/>
  </cols>
  <sheetData>
    <row r="1" spans="1:51" ht="43.5" customHeight="1">
      <c r="A1" s="940" t="s">
        <v>276</v>
      </c>
      <c r="B1" s="2"/>
      <c r="C1" s="903" t="str">
        <f>'t1'!A1</f>
        <v>MAGISTRATURA ORDINARIA - anno 2019</v>
      </c>
      <c r="D1" s="903"/>
      <c r="E1" s="903"/>
      <c r="F1" s="903"/>
      <c r="G1" s="903"/>
      <c r="H1" s="903"/>
      <c r="I1" s="903"/>
      <c r="J1" s="903"/>
      <c r="K1" s="903"/>
      <c r="L1" s="903"/>
      <c r="M1" s="903"/>
      <c r="N1" s="903"/>
      <c r="O1" s="903"/>
      <c r="P1" s="903"/>
      <c r="Q1" s="903"/>
      <c r="R1" s="903"/>
      <c r="S1" s="903"/>
      <c r="T1" s="903"/>
      <c r="U1" s="903"/>
      <c r="V1" s="903"/>
      <c r="W1" s="903"/>
      <c r="Z1" s="305"/>
      <c r="AA1" s="903" t="str">
        <f>C1</f>
        <v>MAGISTRATURA ORDINARIA - anno 2019</v>
      </c>
      <c r="AB1" s="903"/>
      <c r="AC1" s="903"/>
      <c r="AD1" s="903"/>
      <c r="AE1" s="903"/>
      <c r="AF1" s="903"/>
      <c r="AG1" s="903"/>
      <c r="AH1" s="903"/>
      <c r="AI1" s="903"/>
      <c r="AJ1" s="903"/>
      <c r="AK1" s="903"/>
      <c r="AL1" s="903"/>
      <c r="AM1" s="903"/>
      <c r="AN1" s="903"/>
      <c r="AO1" s="903"/>
      <c r="AP1" s="903"/>
      <c r="AQ1" s="903"/>
      <c r="AR1" s="903"/>
      <c r="AS1" s="903"/>
      <c r="AV1" s="305"/>
      <c r="AY1" s="648"/>
    </row>
    <row r="2" spans="1:48" ht="30" customHeight="1" thickBot="1">
      <c r="A2" s="941"/>
      <c r="S2" s="904"/>
      <c r="T2" s="904"/>
      <c r="U2" s="904"/>
      <c r="V2" s="904"/>
      <c r="W2" s="904"/>
      <c r="X2" s="904"/>
      <c r="Y2" s="904"/>
      <c r="Z2" s="904"/>
      <c r="AO2" s="904"/>
      <c r="AP2" s="904"/>
      <c r="AQ2" s="904"/>
      <c r="AR2" s="904"/>
      <c r="AS2" s="904"/>
      <c r="AT2" s="904"/>
      <c r="AU2" s="904"/>
      <c r="AV2" s="904"/>
    </row>
    <row r="3" spans="1:51" ht="12" thickBot="1">
      <c r="A3" s="120"/>
      <c r="B3" s="255" t="s">
        <v>225</v>
      </c>
      <c r="C3" s="121"/>
      <c r="D3" s="122"/>
      <c r="E3" s="122"/>
      <c r="F3" s="122"/>
      <c r="G3" s="122"/>
      <c r="H3" s="122"/>
      <c r="I3" s="122"/>
      <c r="J3" s="122"/>
      <c r="K3" s="122"/>
      <c r="L3" s="122"/>
      <c r="M3" s="122"/>
      <c r="N3" s="122"/>
      <c r="O3" s="122"/>
      <c r="P3" s="122"/>
      <c r="Q3" s="122"/>
      <c r="R3" s="122"/>
      <c r="S3" s="122"/>
      <c r="T3" s="122"/>
      <c r="U3" s="122"/>
      <c r="V3" s="122"/>
      <c r="W3" s="122"/>
      <c r="X3" s="264"/>
      <c r="Y3" s="264"/>
      <c r="Z3" s="123"/>
      <c r="AA3" s="264"/>
      <c r="AB3" s="264"/>
      <c r="AC3" s="264"/>
      <c r="AD3" s="264"/>
      <c r="AE3" s="264"/>
      <c r="AF3" s="264"/>
      <c r="AG3" s="264"/>
      <c r="AH3" s="264"/>
      <c r="AI3" s="264"/>
      <c r="AJ3" s="264"/>
      <c r="AK3" s="264"/>
      <c r="AL3" s="264"/>
      <c r="AM3" s="264"/>
      <c r="AN3" s="264"/>
      <c r="AO3" s="264"/>
      <c r="AP3" s="264"/>
      <c r="AQ3" s="264"/>
      <c r="AR3" s="264"/>
      <c r="AS3" s="264"/>
      <c r="AT3" s="264"/>
      <c r="AU3" s="264"/>
      <c r="AV3" s="265"/>
      <c r="AX3" s="649"/>
      <c r="AY3" s="650"/>
    </row>
    <row r="4" spans="1:51" ht="34.5" thickTop="1">
      <c r="A4" s="22" t="s">
        <v>123</v>
      </c>
      <c r="B4" s="256" t="s">
        <v>95</v>
      </c>
      <c r="C4" s="124" t="s">
        <v>258</v>
      </c>
      <c r="D4" s="125"/>
      <c r="E4" s="126" t="s">
        <v>334</v>
      </c>
      <c r="F4" s="125"/>
      <c r="G4" s="942" t="s">
        <v>109</v>
      </c>
      <c r="H4" s="943"/>
      <c r="I4" s="126" t="s">
        <v>110</v>
      </c>
      <c r="J4" s="126"/>
      <c r="K4" s="126" t="s">
        <v>107</v>
      </c>
      <c r="L4" s="126"/>
      <c r="M4" s="126" t="s">
        <v>101</v>
      </c>
      <c r="N4" s="127"/>
      <c r="O4" s="126" t="s">
        <v>259</v>
      </c>
      <c r="P4" s="126"/>
      <c r="Q4" s="126" t="s">
        <v>105</v>
      </c>
      <c r="R4" s="125"/>
      <c r="S4" s="257" t="s">
        <v>100</v>
      </c>
      <c r="T4" s="126"/>
      <c r="U4" s="126" t="s">
        <v>98</v>
      </c>
      <c r="V4" s="129"/>
      <c r="W4" s="126" t="s">
        <v>104</v>
      </c>
      <c r="X4" s="128"/>
      <c r="Y4" s="126" t="s">
        <v>106</v>
      </c>
      <c r="Z4" s="128"/>
      <c r="AA4" s="126" t="s">
        <v>97</v>
      </c>
      <c r="AB4" s="128"/>
      <c r="AC4" s="126" t="s">
        <v>108</v>
      </c>
      <c r="AD4" s="129"/>
      <c r="AE4" s="126" t="s">
        <v>112</v>
      </c>
      <c r="AF4" s="126"/>
      <c r="AG4" s="126" t="s">
        <v>111</v>
      </c>
      <c r="AH4" s="130"/>
      <c r="AI4" s="126" t="s">
        <v>102</v>
      </c>
      <c r="AJ4" s="129"/>
      <c r="AK4" s="126" t="s">
        <v>103</v>
      </c>
      <c r="AL4" s="126"/>
      <c r="AM4" s="126" t="s">
        <v>96</v>
      </c>
      <c r="AN4" s="129"/>
      <c r="AO4" s="126" t="s">
        <v>99</v>
      </c>
      <c r="AP4" s="128"/>
      <c r="AQ4" s="126" t="s">
        <v>260</v>
      </c>
      <c r="AR4" s="128"/>
      <c r="AS4" s="129" t="s">
        <v>261</v>
      </c>
      <c r="AT4" s="124"/>
      <c r="AU4" s="129" t="s">
        <v>59</v>
      </c>
      <c r="AV4" s="130"/>
      <c r="AX4" s="651" t="s">
        <v>426</v>
      </c>
      <c r="AY4" s="652"/>
    </row>
    <row r="5" spans="1:51" s="263" customFormat="1" ht="9" thickBot="1">
      <c r="A5" s="759" t="s">
        <v>483</v>
      </c>
      <c r="B5" s="258"/>
      <c r="C5" s="259" t="s">
        <v>57</v>
      </c>
      <c r="D5" s="260" t="s">
        <v>58</v>
      </c>
      <c r="E5" s="259" t="s">
        <v>57</v>
      </c>
      <c r="F5" s="260" t="s">
        <v>58</v>
      </c>
      <c r="G5" s="259" t="s">
        <v>57</v>
      </c>
      <c r="H5" s="260" t="s">
        <v>58</v>
      </c>
      <c r="I5" s="259" t="s">
        <v>57</v>
      </c>
      <c r="J5" s="260" t="s">
        <v>58</v>
      </c>
      <c r="K5" s="259" t="s">
        <v>57</v>
      </c>
      <c r="L5" s="260" t="s">
        <v>58</v>
      </c>
      <c r="M5" s="259" t="s">
        <v>57</v>
      </c>
      <c r="N5" s="261" t="s">
        <v>58</v>
      </c>
      <c r="O5" s="259" t="s">
        <v>57</v>
      </c>
      <c r="P5" s="261" t="s">
        <v>58</v>
      </c>
      <c r="Q5" s="259" t="s">
        <v>57</v>
      </c>
      <c r="R5" s="261" t="s">
        <v>58</v>
      </c>
      <c r="S5" s="259" t="s">
        <v>57</v>
      </c>
      <c r="T5" s="261" t="s">
        <v>58</v>
      </c>
      <c r="U5" s="259" t="s">
        <v>57</v>
      </c>
      <c r="V5" s="261" t="s">
        <v>58</v>
      </c>
      <c r="W5" s="259" t="s">
        <v>57</v>
      </c>
      <c r="X5" s="260" t="s">
        <v>58</v>
      </c>
      <c r="Y5" s="259" t="s">
        <v>57</v>
      </c>
      <c r="Z5" s="260" t="s">
        <v>58</v>
      </c>
      <c r="AA5" s="259" t="s">
        <v>57</v>
      </c>
      <c r="AB5" s="260" t="s">
        <v>58</v>
      </c>
      <c r="AC5" s="259" t="s">
        <v>57</v>
      </c>
      <c r="AD5" s="261" t="s">
        <v>58</v>
      </c>
      <c r="AE5" s="259" t="s">
        <v>57</v>
      </c>
      <c r="AF5" s="261" t="s">
        <v>58</v>
      </c>
      <c r="AG5" s="259" t="s">
        <v>57</v>
      </c>
      <c r="AH5" s="261" t="s">
        <v>58</v>
      </c>
      <c r="AI5" s="259" t="s">
        <v>57</v>
      </c>
      <c r="AJ5" s="261" t="s">
        <v>58</v>
      </c>
      <c r="AK5" s="259" t="s">
        <v>57</v>
      </c>
      <c r="AL5" s="261" t="s">
        <v>58</v>
      </c>
      <c r="AM5" s="259" t="s">
        <v>57</v>
      </c>
      <c r="AN5" s="261" t="s">
        <v>58</v>
      </c>
      <c r="AO5" s="259" t="s">
        <v>57</v>
      </c>
      <c r="AP5" s="260" t="s">
        <v>58</v>
      </c>
      <c r="AQ5" s="259" t="s">
        <v>57</v>
      </c>
      <c r="AR5" s="260" t="s">
        <v>58</v>
      </c>
      <c r="AS5" s="262" t="s">
        <v>57</v>
      </c>
      <c r="AT5" s="260" t="s">
        <v>58</v>
      </c>
      <c r="AU5" s="262" t="s">
        <v>57</v>
      </c>
      <c r="AV5" s="261" t="s">
        <v>58</v>
      </c>
      <c r="AW5" s="653"/>
      <c r="AX5" s="654" t="s">
        <v>57</v>
      </c>
      <c r="AY5" s="655" t="s">
        <v>58</v>
      </c>
    </row>
    <row r="6" spans="1:51" ht="12.75" customHeight="1" thickTop="1">
      <c r="A6" s="20" t="str">
        <f>'t1'!A6</f>
        <v>MAGIST.  CON FUNZ. DIRETT. APICALI GIUDICANTI DI LEGITTIMITÀ</v>
      </c>
      <c r="B6" s="226" t="str">
        <f>'t1'!B6</f>
        <v>0D0MT1</v>
      </c>
      <c r="C6" s="634"/>
      <c r="D6" s="635"/>
      <c r="E6" s="634"/>
      <c r="F6" s="635"/>
      <c r="G6" s="634"/>
      <c r="H6" s="635"/>
      <c r="I6" s="634"/>
      <c r="J6" s="635"/>
      <c r="K6" s="634"/>
      <c r="L6" s="635"/>
      <c r="M6" s="634"/>
      <c r="N6" s="635"/>
      <c r="O6" s="634"/>
      <c r="P6" s="635"/>
      <c r="Q6" s="634"/>
      <c r="R6" s="635"/>
      <c r="S6" s="634"/>
      <c r="T6" s="635"/>
      <c r="U6" s="634"/>
      <c r="V6" s="635"/>
      <c r="W6" s="634"/>
      <c r="X6" s="635"/>
      <c r="Y6" s="634"/>
      <c r="Z6" s="635"/>
      <c r="AA6" s="634"/>
      <c r="AB6" s="635"/>
      <c r="AC6" s="634"/>
      <c r="AD6" s="635"/>
      <c r="AE6" s="634"/>
      <c r="AF6" s="635"/>
      <c r="AG6" s="634"/>
      <c r="AH6" s="635"/>
      <c r="AI6" s="634"/>
      <c r="AJ6" s="635"/>
      <c r="AK6" s="634"/>
      <c r="AL6" s="635"/>
      <c r="AM6" s="634"/>
      <c r="AN6" s="635"/>
      <c r="AO6" s="634"/>
      <c r="AP6" s="635"/>
      <c r="AQ6" s="634"/>
      <c r="AR6" s="635"/>
      <c r="AS6" s="634"/>
      <c r="AT6" s="635"/>
      <c r="AU6" s="455">
        <f>SUM(S6,U6,W6,Y6,C6,E6,G6,I6,K6,M6,O6,Q6,AA6,AC6,AE6,AG6,AI6,AK6,AM6,AO6,AQ6,AS6)</f>
        <v>0</v>
      </c>
      <c r="AV6" s="456">
        <f>SUM(T6,V6,X6,Z6,D6,F6,H6,J6,L6,N6,P6,R6,AB6,AD6,AF6,AH6,AJ6,AL6,AN6,AP6,AR6,AT6)</f>
        <v>0</v>
      </c>
      <c r="AW6" s="656" t="str">
        <f>IF((AU6+AV6)=(AX6+AY6),"OK","Controllare totale")</f>
        <v>OK</v>
      </c>
      <c r="AX6" s="657">
        <f>'t1'!K6-'t3'!C6-'t3'!E6-'t3'!G6-'t3'!I6-'t3'!K6+'t3'!M6+'t3'!O6+'t3'!Q6</f>
        <v>0</v>
      </c>
      <c r="AY6" s="658">
        <f>'t1'!L6-'t3'!D6-'t3'!F6-'t3'!H6-'t3'!J6-'t3'!L6+'t3'!N6+'t3'!P6+'t3'!R6</f>
        <v>0</v>
      </c>
    </row>
    <row r="7" spans="1:51" ht="12.75" customHeight="1">
      <c r="A7" s="19" t="str">
        <f>'t1'!A7</f>
        <v>MAGIST. CON FUNZ. DIRETT. APICALI REQUIRENTI DI LEGITTIMITÀ</v>
      </c>
      <c r="B7" s="147" t="str">
        <f>'t1'!B7</f>
        <v>0D0MT2</v>
      </c>
      <c r="C7" s="636"/>
      <c r="D7" s="244"/>
      <c r="E7" s="636"/>
      <c r="F7" s="244"/>
      <c r="G7" s="636"/>
      <c r="H7" s="244"/>
      <c r="I7" s="636"/>
      <c r="J7" s="244"/>
      <c r="K7" s="636"/>
      <c r="L7" s="244"/>
      <c r="M7" s="636"/>
      <c r="N7" s="244"/>
      <c r="O7" s="636"/>
      <c r="P7" s="244"/>
      <c r="Q7" s="636"/>
      <c r="R7" s="244"/>
      <c r="S7" s="636"/>
      <c r="T7" s="244"/>
      <c r="U7" s="636"/>
      <c r="V7" s="244"/>
      <c r="W7" s="636"/>
      <c r="X7" s="244"/>
      <c r="Y7" s="636"/>
      <c r="Z7" s="244"/>
      <c r="AA7" s="636"/>
      <c r="AB7" s="244"/>
      <c r="AC7" s="636"/>
      <c r="AD7" s="244"/>
      <c r="AE7" s="636"/>
      <c r="AF7" s="244"/>
      <c r="AG7" s="636"/>
      <c r="AH7" s="244"/>
      <c r="AI7" s="636"/>
      <c r="AJ7" s="244"/>
      <c r="AK7" s="636"/>
      <c r="AL7" s="244"/>
      <c r="AM7" s="636"/>
      <c r="AN7" s="244"/>
      <c r="AO7" s="636"/>
      <c r="AP7" s="244"/>
      <c r="AQ7" s="636"/>
      <c r="AR7" s="244"/>
      <c r="AS7" s="636"/>
      <c r="AT7" s="244"/>
      <c r="AU7" s="457">
        <f>SUM(C7,E7,G7,I7,K7,M7,O7,Q7,S7,U7,W7,Y7,AA7,AC7,AE7,AG7,AI7,AK7,AM7,AO7,AQ7,AS7)</f>
        <v>0</v>
      </c>
      <c r="AV7" s="458">
        <f aca="true" t="shared" si="0" ref="AV7:AV14">SUM(T7,V7,X7,Z7,D7,F7,H7,J7,L7,N7,P7,R7,AB7,AD7,AF7,AH7,AJ7,AL7,AN7,AP7,AR7,AT7)</f>
        <v>0</v>
      </c>
      <c r="AW7" s="656" t="str">
        <f aca="true" t="shared" si="1" ref="AW7:AW14">IF((AU7+AV7)=(AX7+AY7),"OK","Controllare totale")</f>
        <v>OK</v>
      </c>
      <c r="AX7" s="659">
        <f>'t1'!K7-'t3'!C7-'t3'!E7-'t3'!G7-'t3'!I7-'t3'!K7+'t3'!M7+'t3'!O7+'t3'!Q7</f>
        <v>0</v>
      </c>
      <c r="AY7" s="660">
        <f>'t1'!L7-'t3'!D7-'t3'!F7-'t3'!H7-'t3'!J7-'t3'!L7+'t3'!N7+'t3'!P7+'t3'!R7</f>
        <v>0</v>
      </c>
    </row>
    <row r="8" spans="1:51" ht="12.75" customHeight="1">
      <c r="A8" s="19" t="str">
        <f>'t1'!A8</f>
        <v>MAGISTRATI CON FUNZIONI DIRETTIVE SUPERIORI DI LEGITTIMITÀ</v>
      </c>
      <c r="B8" s="147" t="str">
        <f>'t1'!B8</f>
        <v>0D0MT3</v>
      </c>
      <c r="C8" s="636"/>
      <c r="D8" s="244"/>
      <c r="E8" s="636"/>
      <c r="F8" s="244"/>
      <c r="G8" s="636"/>
      <c r="H8" s="244"/>
      <c r="I8" s="636"/>
      <c r="J8" s="244"/>
      <c r="K8" s="636"/>
      <c r="L8" s="244"/>
      <c r="M8" s="636"/>
      <c r="N8" s="244"/>
      <c r="O8" s="636"/>
      <c r="P8" s="244"/>
      <c r="Q8" s="636"/>
      <c r="R8" s="244"/>
      <c r="S8" s="636"/>
      <c r="T8" s="244"/>
      <c r="U8" s="636"/>
      <c r="V8" s="244"/>
      <c r="W8" s="636"/>
      <c r="X8" s="244"/>
      <c r="Y8" s="636"/>
      <c r="Z8" s="244"/>
      <c r="AA8" s="636"/>
      <c r="AB8" s="244"/>
      <c r="AC8" s="636"/>
      <c r="AD8" s="244"/>
      <c r="AE8" s="636"/>
      <c r="AF8" s="244"/>
      <c r="AG8" s="636"/>
      <c r="AH8" s="244"/>
      <c r="AI8" s="636"/>
      <c r="AJ8" s="244"/>
      <c r="AK8" s="636"/>
      <c r="AL8" s="244"/>
      <c r="AM8" s="636"/>
      <c r="AN8" s="244"/>
      <c r="AO8" s="636"/>
      <c r="AP8" s="244"/>
      <c r="AQ8" s="636"/>
      <c r="AR8" s="244"/>
      <c r="AS8" s="636"/>
      <c r="AT8" s="244"/>
      <c r="AU8" s="457">
        <f>SUM(S8,U8,W8,Y8,C8,E8,G8,I8,K8,M8,O8,Q8,AA8,AC8,AE8,AG8,AI8,AK8,AM8,AO8,AQ8,AS8)</f>
        <v>0</v>
      </c>
      <c r="AV8" s="458">
        <f t="shared" si="0"/>
        <v>0</v>
      </c>
      <c r="AW8" s="656" t="str">
        <f t="shared" si="1"/>
        <v>OK</v>
      </c>
      <c r="AX8" s="659">
        <f>'t1'!K8-'t3'!C8-'t3'!E8-'t3'!G8-'t3'!I8-'t3'!K8+'t3'!M8+'t3'!O8+'t3'!Q8</f>
        <v>0</v>
      </c>
      <c r="AY8" s="660">
        <f>'t1'!L8-'t3'!D8-'t3'!F8-'t3'!H8-'t3'!J8-'t3'!L8+'t3'!N8+'t3'!P8+'t3'!R8</f>
        <v>0</v>
      </c>
    </row>
    <row r="9" spans="1:51" ht="12.75" customHeight="1">
      <c r="A9" s="19" t="str">
        <f>'t1'!A9</f>
        <v>MAGISTRATI ORDINARI VII VALUT. PROF.</v>
      </c>
      <c r="B9" s="147" t="str">
        <f>'t1'!B9</f>
        <v>0D0MT4</v>
      </c>
      <c r="C9" s="636"/>
      <c r="D9" s="244"/>
      <c r="E9" s="636"/>
      <c r="F9" s="244"/>
      <c r="G9" s="636"/>
      <c r="H9" s="244"/>
      <c r="I9" s="636"/>
      <c r="J9" s="244"/>
      <c r="K9" s="636"/>
      <c r="L9" s="244"/>
      <c r="M9" s="636"/>
      <c r="N9" s="244"/>
      <c r="O9" s="636"/>
      <c r="P9" s="244"/>
      <c r="Q9" s="636"/>
      <c r="R9" s="244"/>
      <c r="S9" s="636"/>
      <c r="T9" s="244"/>
      <c r="U9" s="636"/>
      <c r="V9" s="244"/>
      <c r="W9" s="636"/>
      <c r="X9" s="244"/>
      <c r="Y9" s="636"/>
      <c r="Z9" s="244"/>
      <c r="AA9" s="636"/>
      <c r="AB9" s="244"/>
      <c r="AC9" s="636"/>
      <c r="AD9" s="244"/>
      <c r="AE9" s="636"/>
      <c r="AF9" s="244"/>
      <c r="AG9" s="636"/>
      <c r="AH9" s="244"/>
      <c r="AI9" s="636"/>
      <c r="AJ9" s="244"/>
      <c r="AK9" s="636"/>
      <c r="AL9" s="244"/>
      <c r="AM9" s="636"/>
      <c r="AN9" s="244"/>
      <c r="AO9" s="636"/>
      <c r="AP9" s="244"/>
      <c r="AQ9" s="636"/>
      <c r="AR9" s="244"/>
      <c r="AS9" s="636"/>
      <c r="AT9" s="244"/>
      <c r="AU9" s="457">
        <f aca="true" t="shared" si="2" ref="AU9:AU14">SUM(S9,U9,W9,Y9,C9,E9,G9,I9,K9,M9,O9,Q9,AA9,AC9,AE9,AG9,AI9,AK9,AM9,AO9,AQ9,AS9)</f>
        <v>0</v>
      </c>
      <c r="AV9" s="458">
        <f t="shared" si="0"/>
        <v>0</v>
      </c>
      <c r="AW9" s="656" t="str">
        <f t="shared" si="1"/>
        <v>OK</v>
      </c>
      <c r="AX9" s="659">
        <f>'t1'!K9-'t3'!C9-'t3'!E9-'t3'!G9-'t3'!I9-'t3'!K9+'t3'!M9+'t3'!O9+'t3'!Q9</f>
        <v>0</v>
      </c>
      <c r="AY9" s="660">
        <f>'t1'!L9-'t3'!D9-'t3'!F9-'t3'!H9-'t3'!J9-'t3'!L9+'t3'!N9+'t3'!P9+'t3'!R9</f>
        <v>0</v>
      </c>
    </row>
    <row r="10" spans="1:51" ht="12.75" customHeight="1">
      <c r="A10" s="19" t="str">
        <f>'t1'!A10</f>
        <v>MAGISTRATI ORDINARI V VALUT. PROF.</v>
      </c>
      <c r="B10" s="147" t="str">
        <f>'t1'!B10</f>
        <v>0D0MT5</v>
      </c>
      <c r="C10" s="636"/>
      <c r="D10" s="244"/>
      <c r="E10" s="636"/>
      <c r="F10" s="244"/>
      <c r="G10" s="636"/>
      <c r="H10" s="244"/>
      <c r="I10" s="636"/>
      <c r="J10" s="244"/>
      <c r="K10" s="636"/>
      <c r="L10" s="244"/>
      <c r="M10" s="636"/>
      <c r="N10" s="244"/>
      <c r="O10" s="636"/>
      <c r="P10" s="244"/>
      <c r="Q10" s="636"/>
      <c r="R10" s="244"/>
      <c r="S10" s="636"/>
      <c r="T10" s="244"/>
      <c r="U10" s="636"/>
      <c r="V10" s="244"/>
      <c r="W10" s="636"/>
      <c r="X10" s="244"/>
      <c r="Y10" s="636"/>
      <c r="Z10" s="244"/>
      <c r="AA10" s="636"/>
      <c r="AB10" s="244"/>
      <c r="AC10" s="636"/>
      <c r="AD10" s="244"/>
      <c r="AE10" s="636"/>
      <c r="AF10" s="244"/>
      <c r="AG10" s="636"/>
      <c r="AH10" s="244"/>
      <c r="AI10" s="636"/>
      <c r="AJ10" s="244"/>
      <c r="AK10" s="636"/>
      <c r="AL10" s="244"/>
      <c r="AM10" s="636"/>
      <c r="AN10" s="244"/>
      <c r="AO10" s="636"/>
      <c r="AP10" s="244"/>
      <c r="AQ10" s="636"/>
      <c r="AR10" s="244"/>
      <c r="AS10" s="636"/>
      <c r="AT10" s="244"/>
      <c r="AU10" s="457">
        <f t="shared" si="2"/>
        <v>0</v>
      </c>
      <c r="AV10" s="458">
        <f t="shared" si="0"/>
        <v>0</v>
      </c>
      <c r="AW10" s="656" t="str">
        <f t="shared" si="1"/>
        <v>OK</v>
      </c>
      <c r="AX10" s="659">
        <f>'t1'!K10-'t3'!C10-'t3'!E10-'t3'!G10-'t3'!I10-'t3'!K10+'t3'!M10+'t3'!O10+'t3'!Q10</f>
        <v>0</v>
      </c>
      <c r="AY10" s="660">
        <f>'t1'!L10-'t3'!D10-'t3'!F10-'t3'!H10-'t3'!J10-'t3'!L10+'t3'!N10+'t3'!P10+'t3'!R10</f>
        <v>0</v>
      </c>
    </row>
    <row r="11" spans="1:51" ht="12.75" customHeight="1">
      <c r="A11" s="19" t="str">
        <f>'t1'!A11</f>
        <v>MAGISTRATI ORDINARI DOPO 1 ANNO DALLA III VALUT. PROF.</v>
      </c>
      <c r="B11" s="147" t="str">
        <f>'t1'!B11</f>
        <v>0D0MT6</v>
      </c>
      <c r="C11" s="636"/>
      <c r="D11" s="244"/>
      <c r="E11" s="636"/>
      <c r="F11" s="244"/>
      <c r="G11" s="636"/>
      <c r="H11" s="244"/>
      <c r="I11" s="636"/>
      <c r="J11" s="244"/>
      <c r="K11" s="636"/>
      <c r="L11" s="244"/>
      <c r="M11" s="636"/>
      <c r="N11" s="244"/>
      <c r="O11" s="636"/>
      <c r="P11" s="244"/>
      <c r="Q11" s="636"/>
      <c r="R11" s="244"/>
      <c r="S11" s="636"/>
      <c r="T11" s="244"/>
      <c r="U11" s="636"/>
      <c r="V11" s="244"/>
      <c r="W11" s="636"/>
      <c r="X11" s="244"/>
      <c r="Y11" s="636"/>
      <c r="Z11" s="244"/>
      <c r="AA11" s="636"/>
      <c r="AB11" s="244"/>
      <c r="AC11" s="636"/>
      <c r="AD11" s="244"/>
      <c r="AE11" s="636"/>
      <c r="AF11" s="244"/>
      <c r="AG11" s="636"/>
      <c r="AH11" s="244"/>
      <c r="AI11" s="636"/>
      <c r="AJ11" s="244"/>
      <c r="AK11" s="636"/>
      <c r="AL11" s="244"/>
      <c r="AM11" s="636"/>
      <c r="AN11" s="244"/>
      <c r="AO11" s="636"/>
      <c r="AP11" s="244"/>
      <c r="AQ11" s="636"/>
      <c r="AR11" s="244"/>
      <c r="AS11" s="636"/>
      <c r="AT11" s="244"/>
      <c r="AU11" s="457">
        <f t="shared" si="2"/>
        <v>0</v>
      </c>
      <c r="AV11" s="458">
        <f t="shared" si="0"/>
        <v>0</v>
      </c>
      <c r="AW11" s="656" t="str">
        <f t="shared" si="1"/>
        <v>OK</v>
      </c>
      <c r="AX11" s="659">
        <f>'t1'!K11-'t3'!C11-'t3'!E11-'t3'!G11-'t3'!I11-'t3'!K11+'t3'!M11+'t3'!O11+'t3'!Q11</f>
        <v>0</v>
      </c>
      <c r="AY11" s="660">
        <f>'t1'!L11-'t3'!D11-'t3'!F11-'t3'!H11-'t3'!J11-'t3'!L11+'t3'!N11+'t3'!P11+'t3'!R11</f>
        <v>0</v>
      </c>
    </row>
    <row r="12" spans="1:51" ht="12.75" customHeight="1">
      <c r="A12" s="19" t="str">
        <f>'t1'!A12</f>
        <v>MAGISTRATI ORDINARI  I  VALUT. PROF.</v>
      </c>
      <c r="B12" s="147" t="str">
        <f>'t1'!B12</f>
        <v>0D0MT7</v>
      </c>
      <c r="C12" s="636"/>
      <c r="D12" s="244"/>
      <c r="E12" s="636"/>
      <c r="F12" s="244"/>
      <c r="G12" s="636"/>
      <c r="H12" s="244"/>
      <c r="I12" s="636"/>
      <c r="J12" s="244"/>
      <c r="K12" s="636"/>
      <c r="L12" s="244"/>
      <c r="M12" s="636"/>
      <c r="N12" s="244"/>
      <c r="O12" s="636"/>
      <c r="P12" s="244"/>
      <c r="Q12" s="636"/>
      <c r="R12" s="244"/>
      <c r="S12" s="636"/>
      <c r="T12" s="244"/>
      <c r="U12" s="636"/>
      <c r="V12" s="244"/>
      <c r="W12" s="636"/>
      <c r="X12" s="244"/>
      <c r="Y12" s="636"/>
      <c r="Z12" s="244"/>
      <c r="AA12" s="636"/>
      <c r="AB12" s="244"/>
      <c r="AC12" s="636"/>
      <c r="AD12" s="244"/>
      <c r="AE12" s="636"/>
      <c r="AF12" s="244"/>
      <c r="AG12" s="636"/>
      <c r="AH12" s="244"/>
      <c r="AI12" s="636"/>
      <c r="AJ12" s="244"/>
      <c r="AK12" s="636"/>
      <c r="AL12" s="244"/>
      <c r="AM12" s="636"/>
      <c r="AN12" s="244"/>
      <c r="AO12" s="636"/>
      <c r="AP12" s="244"/>
      <c r="AQ12" s="636"/>
      <c r="AR12" s="244"/>
      <c r="AS12" s="636"/>
      <c r="AT12" s="244"/>
      <c r="AU12" s="457">
        <f t="shared" si="2"/>
        <v>0</v>
      </c>
      <c r="AV12" s="458">
        <f t="shared" si="0"/>
        <v>0</v>
      </c>
      <c r="AW12" s="656" t="str">
        <f t="shared" si="1"/>
        <v>OK</v>
      </c>
      <c r="AX12" s="659">
        <f>'t1'!K12-'t3'!C12-'t3'!E12-'t3'!G12-'t3'!I12-'t3'!K12+'t3'!M12+'t3'!O12+'t3'!Q12</f>
        <v>0</v>
      </c>
      <c r="AY12" s="660">
        <f>'t1'!L12-'t3'!D12-'t3'!F12-'t3'!H12-'t3'!J12-'t3'!L12+'t3'!N12+'t3'!P12+'t3'!R12</f>
        <v>0</v>
      </c>
    </row>
    <row r="13" spans="1:51" ht="12.75" customHeight="1">
      <c r="A13" s="19" t="str">
        <f>'t1'!A13</f>
        <v>MAGISTRATI ORDINARI</v>
      </c>
      <c r="B13" s="147" t="str">
        <f>'t1'!B13</f>
        <v>0D0MT8</v>
      </c>
      <c r="C13" s="636"/>
      <c r="D13" s="244"/>
      <c r="E13" s="636"/>
      <c r="F13" s="244"/>
      <c r="G13" s="636"/>
      <c r="H13" s="244"/>
      <c r="I13" s="636"/>
      <c r="J13" s="244"/>
      <c r="K13" s="636"/>
      <c r="L13" s="244"/>
      <c r="M13" s="636"/>
      <c r="N13" s="244"/>
      <c r="O13" s="636"/>
      <c r="P13" s="244"/>
      <c r="Q13" s="636"/>
      <c r="R13" s="244"/>
      <c r="S13" s="636"/>
      <c r="T13" s="244"/>
      <c r="U13" s="636"/>
      <c r="V13" s="244"/>
      <c r="W13" s="636"/>
      <c r="X13" s="244"/>
      <c r="Y13" s="636"/>
      <c r="Z13" s="244"/>
      <c r="AA13" s="636"/>
      <c r="AB13" s="244"/>
      <c r="AC13" s="636"/>
      <c r="AD13" s="244"/>
      <c r="AE13" s="636"/>
      <c r="AF13" s="244"/>
      <c r="AG13" s="636"/>
      <c r="AH13" s="244"/>
      <c r="AI13" s="636"/>
      <c r="AJ13" s="244"/>
      <c r="AK13" s="636"/>
      <c r="AL13" s="244"/>
      <c r="AM13" s="636"/>
      <c r="AN13" s="244"/>
      <c r="AO13" s="636"/>
      <c r="AP13" s="244"/>
      <c r="AQ13" s="636"/>
      <c r="AR13" s="244"/>
      <c r="AS13" s="636"/>
      <c r="AT13" s="244"/>
      <c r="AU13" s="457">
        <f t="shared" si="2"/>
        <v>0</v>
      </c>
      <c r="AV13" s="458">
        <f t="shared" si="0"/>
        <v>0</v>
      </c>
      <c r="AW13" s="656" t="str">
        <f t="shared" si="1"/>
        <v>OK</v>
      </c>
      <c r="AX13" s="659">
        <f>'t1'!K13-'t3'!C13-'t3'!E13-'t3'!G13-'t3'!I13-'t3'!K13+'t3'!M13+'t3'!O13+'t3'!Q13</f>
        <v>0</v>
      </c>
      <c r="AY13" s="660">
        <f>'t1'!L13-'t3'!D13-'t3'!F13-'t3'!H13-'t3'!J13-'t3'!L13+'t3'!N13+'t3'!P13+'t3'!R13</f>
        <v>0</v>
      </c>
    </row>
    <row r="14" spans="1:51" ht="12.75" customHeight="1" thickBot="1">
      <c r="A14" s="19" t="str">
        <f>'t1'!A14</f>
        <v>MAGISTRATI ORDINARI IN TIROCINIO</v>
      </c>
      <c r="B14" s="147" t="str">
        <f>'t1'!B14</f>
        <v>0D0MT9</v>
      </c>
      <c r="C14" s="636"/>
      <c r="D14" s="244"/>
      <c r="E14" s="636"/>
      <c r="F14" s="244"/>
      <c r="G14" s="636"/>
      <c r="H14" s="244"/>
      <c r="I14" s="636"/>
      <c r="J14" s="244"/>
      <c r="K14" s="636"/>
      <c r="L14" s="244"/>
      <c r="M14" s="636"/>
      <c r="N14" s="244"/>
      <c r="O14" s="636"/>
      <c r="P14" s="244"/>
      <c r="Q14" s="636"/>
      <c r="R14" s="244"/>
      <c r="S14" s="636"/>
      <c r="T14" s="244"/>
      <c r="U14" s="636"/>
      <c r="V14" s="244"/>
      <c r="W14" s="636"/>
      <c r="X14" s="244"/>
      <c r="Y14" s="636"/>
      <c r="Z14" s="244"/>
      <c r="AA14" s="636"/>
      <c r="AB14" s="244"/>
      <c r="AC14" s="636"/>
      <c r="AD14" s="244"/>
      <c r="AE14" s="636"/>
      <c r="AF14" s="244"/>
      <c r="AG14" s="636"/>
      <c r="AH14" s="244"/>
      <c r="AI14" s="636"/>
      <c r="AJ14" s="244"/>
      <c r="AK14" s="636"/>
      <c r="AL14" s="244"/>
      <c r="AM14" s="636"/>
      <c r="AN14" s="244"/>
      <c r="AO14" s="636"/>
      <c r="AP14" s="244"/>
      <c r="AQ14" s="636"/>
      <c r="AR14" s="244"/>
      <c r="AS14" s="636"/>
      <c r="AT14" s="244"/>
      <c r="AU14" s="457">
        <f t="shared" si="2"/>
        <v>0</v>
      </c>
      <c r="AV14" s="458">
        <f t="shared" si="0"/>
        <v>0</v>
      </c>
      <c r="AW14" s="656" t="str">
        <f t="shared" si="1"/>
        <v>OK</v>
      </c>
      <c r="AX14" s="661">
        <f>'t1'!K14-'t3'!C14-'t3'!E14-'t3'!G14-'t3'!I14-'t3'!K14+'t3'!M14+'t3'!O14+'t3'!Q14</f>
        <v>0</v>
      </c>
      <c r="AY14" s="662">
        <f>'t1'!L14-'t3'!D14-'t3'!F14-'t3'!H14-'t3'!J14-'t3'!L14+'t3'!N14+'t3'!P14+'t3'!R14</f>
        <v>0</v>
      </c>
    </row>
    <row r="15" spans="1:51" ht="17.25" customHeight="1" thickBot="1" thickTop="1">
      <c r="A15" s="15" t="s">
        <v>59</v>
      </c>
      <c r="B15" s="149"/>
      <c r="C15" s="459">
        <f aca="true" t="shared" si="3" ref="C15:AV15">SUM(C6:C14)</f>
        <v>0</v>
      </c>
      <c r="D15" s="461">
        <f t="shared" si="3"/>
        <v>0</v>
      </c>
      <c r="E15" s="459">
        <f t="shared" si="3"/>
        <v>0</v>
      </c>
      <c r="F15" s="461">
        <f t="shared" si="3"/>
        <v>0</v>
      </c>
      <c r="G15" s="459">
        <f t="shared" si="3"/>
        <v>0</v>
      </c>
      <c r="H15" s="461">
        <f t="shared" si="3"/>
        <v>0</v>
      </c>
      <c r="I15" s="459">
        <f t="shared" si="3"/>
        <v>0</v>
      </c>
      <c r="J15" s="461">
        <f t="shared" si="3"/>
        <v>0</v>
      </c>
      <c r="K15" s="459">
        <f t="shared" si="3"/>
        <v>0</v>
      </c>
      <c r="L15" s="461">
        <f t="shared" si="3"/>
        <v>0</v>
      </c>
      <c r="M15" s="459">
        <f t="shared" si="3"/>
        <v>0</v>
      </c>
      <c r="N15" s="461">
        <f t="shared" si="3"/>
        <v>0</v>
      </c>
      <c r="O15" s="459">
        <f t="shared" si="3"/>
        <v>0</v>
      </c>
      <c r="P15" s="461">
        <f t="shared" si="3"/>
        <v>0</v>
      </c>
      <c r="Q15" s="459">
        <f t="shared" si="3"/>
        <v>0</v>
      </c>
      <c r="R15" s="461">
        <f t="shared" si="3"/>
        <v>0</v>
      </c>
      <c r="S15" s="459">
        <f t="shared" si="3"/>
        <v>0</v>
      </c>
      <c r="T15" s="461">
        <f t="shared" si="3"/>
        <v>0</v>
      </c>
      <c r="U15" s="459">
        <f t="shared" si="3"/>
        <v>0</v>
      </c>
      <c r="V15" s="461">
        <f t="shared" si="3"/>
        <v>0</v>
      </c>
      <c r="W15" s="459">
        <f t="shared" si="3"/>
        <v>0</v>
      </c>
      <c r="X15" s="461">
        <f t="shared" si="3"/>
        <v>0</v>
      </c>
      <c r="Y15" s="459">
        <f t="shared" si="3"/>
        <v>0</v>
      </c>
      <c r="Z15" s="461">
        <f t="shared" si="3"/>
        <v>0</v>
      </c>
      <c r="AA15" s="459">
        <f t="shared" si="3"/>
        <v>0</v>
      </c>
      <c r="AB15" s="461">
        <f t="shared" si="3"/>
        <v>0</v>
      </c>
      <c r="AC15" s="459">
        <f t="shared" si="3"/>
        <v>0</v>
      </c>
      <c r="AD15" s="461">
        <f t="shared" si="3"/>
        <v>0</v>
      </c>
      <c r="AE15" s="459">
        <f t="shared" si="3"/>
        <v>0</v>
      </c>
      <c r="AF15" s="461">
        <f t="shared" si="3"/>
        <v>0</v>
      </c>
      <c r="AG15" s="459">
        <f t="shared" si="3"/>
        <v>0</v>
      </c>
      <c r="AH15" s="461">
        <f t="shared" si="3"/>
        <v>0</v>
      </c>
      <c r="AI15" s="459">
        <f t="shared" si="3"/>
        <v>0</v>
      </c>
      <c r="AJ15" s="461">
        <f t="shared" si="3"/>
        <v>0</v>
      </c>
      <c r="AK15" s="459">
        <f t="shared" si="3"/>
        <v>0</v>
      </c>
      <c r="AL15" s="461">
        <f t="shared" si="3"/>
        <v>0</v>
      </c>
      <c r="AM15" s="459">
        <f t="shared" si="3"/>
        <v>0</v>
      </c>
      <c r="AN15" s="461">
        <f t="shared" si="3"/>
        <v>0</v>
      </c>
      <c r="AO15" s="459">
        <f t="shared" si="3"/>
        <v>0</v>
      </c>
      <c r="AP15" s="461">
        <f t="shared" si="3"/>
        <v>0</v>
      </c>
      <c r="AQ15" s="459">
        <f t="shared" si="3"/>
        <v>0</v>
      </c>
      <c r="AR15" s="461">
        <f t="shared" si="3"/>
        <v>0</v>
      </c>
      <c r="AS15" s="459">
        <f t="shared" si="3"/>
        <v>0</v>
      </c>
      <c r="AT15" s="461">
        <f t="shared" si="3"/>
        <v>0</v>
      </c>
      <c r="AU15" s="459">
        <f t="shared" si="3"/>
        <v>0</v>
      </c>
      <c r="AV15" s="460">
        <f t="shared" si="3"/>
        <v>0</v>
      </c>
      <c r="AW15" s="656" t="str">
        <f>IF((AU50+AV50)=(AX15+AY15),"OK","Controllare totale")</f>
        <v>OK</v>
      </c>
      <c r="AX15" s="663">
        <f>SUM(AX6:AX14)</f>
        <v>0</v>
      </c>
      <c r="AY15" s="664">
        <f>SUM(AY6:AY14)</f>
        <v>0</v>
      </c>
    </row>
    <row r="16" spans="3:27" ht="17.25" customHeight="1">
      <c r="C16" s="21"/>
      <c r="M16" s="9"/>
      <c r="N16" s="9"/>
      <c r="O16" s="9"/>
      <c r="P16" s="9"/>
      <c r="Q16" s="9"/>
      <c r="R16" s="9"/>
      <c r="S16" s="8"/>
      <c r="T16" s="8"/>
      <c r="AA16" s="21"/>
    </row>
    <row r="17" spans="3:27" ht="11.25">
      <c r="C17" s="21"/>
      <c r="AA17" s="21"/>
    </row>
  </sheetData>
  <sheetProtection password="EA98" sheet="1" formatColumns="0" selectLockedCells="1"/>
  <mergeCells count="6">
    <mergeCell ref="A1:A2"/>
    <mergeCell ref="G4:H4"/>
    <mergeCell ref="S2:Z2"/>
    <mergeCell ref="AO2:AV2"/>
    <mergeCell ref="C1:W1"/>
    <mergeCell ref="AA1:AS1"/>
  </mergeCells>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B19"/>
  <sheetViews>
    <sheetView showGridLines="0" zoomScalePageLayoutView="0" workbookViewId="0" topLeftCell="A1">
      <pane xSplit="2" ySplit="7" topLeftCell="AG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60.660156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2" width="0" style="26" hidden="1" customWidth="1"/>
    <col min="33" max="36" width="11.33203125" style="26" customWidth="1"/>
    <col min="37" max="40" width="10.33203125" style="26" customWidth="1"/>
    <col min="41" max="44" width="10.66015625" style="26" customWidth="1"/>
    <col min="45" max="50" width="9.33203125" style="26" customWidth="1"/>
    <col min="51" max="16384" width="10.66015625" style="26" customWidth="1"/>
  </cols>
  <sheetData>
    <row r="1" spans="1:54" s="5" customFormat="1" ht="43.5" customHeight="1">
      <c r="A1" s="903" t="str">
        <f>'t1'!A1</f>
        <v>MAGISTRATURA ORDINARIA - anno 2019</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3"/>
      <c r="AY1" s="903"/>
      <c r="AZ1" s="903"/>
      <c r="BA1" s="26"/>
      <c r="BB1" s="26"/>
    </row>
    <row r="2" spans="1:40" ht="30" customHeight="1" thickBot="1">
      <c r="A2" s="23"/>
      <c r="B2" s="24"/>
      <c r="C2" s="25"/>
      <c r="D2" s="25"/>
      <c r="E2" s="25"/>
      <c r="F2" s="25"/>
      <c r="G2" s="904"/>
      <c r="H2" s="904"/>
      <c r="I2" s="904"/>
      <c r="J2" s="904"/>
      <c r="AG2" s="25"/>
      <c r="AH2" s="25"/>
      <c r="AI2" s="25"/>
      <c r="AJ2" s="25"/>
      <c r="AK2" s="904"/>
      <c r="AL2" s="904"/>
      <c r="AM2" s="904"/>
      <c r="AN2" s="904"/>
    </row>
    <row r="3" spans="1:52" ht="15.75" customHeight="1" thickBot="1">
      <c r="A3" s="288"/>
      <c r="B3" s="293"/>
      <c r="C3" s="294" t="s">
        <v>228</v>
      </c>
      <c r="D3" s="294"/>
      <c r="E3" s="294"/>
      <c r="F3" s="294"/>
      <c r="G3" s="294"/>
      <c r="H3" s="295"/>
      <c r="I3" s="294"/>
      <c r="J3" s="295"/>
      <c r="K3" s="295"/>
      <c r="L3" s="295"/>
      <c r="M3" s="295"/>
      <c r="N3" s="295"/>
      <c r="O3" s="295"/>
      <c r="P3" s="295"/>
      <c r="Q3" s="295"/>
      <c r="R3" s="295"/>
      <c r="S3" s="295"/>
      <c r="T3" s="295"/>
      <c r="U3" s="295"/>
      <c r="V3" s="295"/>
      <c r="AG3" s="294" t="s">
        <v>228</v>
      </c>
      <c r="AH3" s="294"/>
      <c r="AI3" s="294"/>
      <c r="AJ3" s="294"/>
      <c r="AK3" s="294"/>
      <c r="AL3" s="295"/>
      <c r="AM3" s="294"/>
      <c r="AN3" s="295"/>
      <c r="AO3" s="295"/>
      <c r="AP3" s="295"/>
      <c r="AQ3" s="295"/>
      <c r="AR3" s="295"/>
      <c r="AS3" s="295"/>
      <c r="AT3" s="295"/>
      <c r="AU3" s="295"/>
      <c r="AV3" s="295"/>
      <c r="AW3" s="295"/>
      <c r="AX3" s="295"/>
      <c r="AY3" s="295"/>
      <c r="AZ3" s="295"/>
    </row>
    <row r="4" spans="1:52" ht="37.5" customHeight="1" thickTop="1">
      <c r="A4" s="27" t="s">
        <v>123</v>
      </c>
      <c r="B4" s="28" t="s">
        <v>56</v>
      </c>
      <c r="C4" s="480" t="s">
        <v>61</v>
      </c>
      <c r="D4" s="481"/>
      <c r="E4" s="949" t="s">
        <v>329</v>
      </c>
      <c r="F4" s="950"/>
      <c r="G4" s="951" t="s">
        <v>353</v>
      </c>
      <c r="H4" s="930"/>
      <c r="I4" s="951" t="s">
        <v>328</v>
      </c>
      <c r="J4" s="930"/>
      <c r="K4" s="952" t="s">
        <v>327</v>
      </c>
      <c r="L4" s="930"/>
      <c r="M4" s="946" t="s">
        <v>326</v>
      </c>
      <c r="N4" s="930"/>
      <c r="O4" s="946" t="s">
        <v>304</v>
      </c>
      <c r="P4" s="930"/>
      <c r="Q4" s="946" t="s">
        <v>166</v>
      </c>
      <c r="R4" s="930"/>
      <c r="S4" s="946" t="s">
        <v>54</v>
      </c>
      <c r="T4" s="930"/>
      <c r="U4" s="395" t="s">
        <v>59</v>
      </c>
      <c r="V4" s="394"/>
      <c r="AG4" s="480" t="s">
        <v>61</v>
      </c>
      <c r="AH4" s="481"/>
      <c r="AI4" s="949" t="s">
        <v>329</v>
      </c>
      <c r="AJ4" s="950"/>
      <c r="AK4" s="951" t="s">
        <v>353</v>
      </c>
      <c r="AL4" s="930"/>
      <c r="AM4" s="951" t="s">
        <v>328</v>
      </c>
      <c r="AN4" s="930"/>
      <c r="AO4" s="952" t="s">
        <v>327</v>
      </c>
      <c r="AP4" s="930"/>
      <c r="AQ4" s="946" t="s">
        <v>326</v>
      </c>
      <c r="AR4" s="930"/>
      <c r="AS4" s="946" t="s">
        <v>304</v>
      </c>
      <c r="AT4" s="930"/>
      <c r="AU4" s="946" t="s">
        <v>166</v>
      </c>
      <c r="AV4" s="930"/>
      <c r="AW4" s="946" t="s">
        <v>54</v>
      </c>
      <c r="AX4" s="930"/>
      <c r="AY4" s="395" t="s">
        <v>59</v>
      </c>
      <c r="AZ4" s="394"/>
    </row>
    <row r="5" spans="1:52" ht="11.25">
      <c r="A5" s="27"/>
      <c r="B5" s="28"/>
      <c r="C5" s="947" t="s">
        <v>263</v>
      </c>
      <c r="D5" s="948"/>
      <c r="E5" s="947" t="s">
        <v>330</v>
      </c>
      <c r="F5" s="948"/>
      <c r="G5" s="947" t="s">
        <v>352</v>
      </c>
      <c r="H5" s="948"/>
      <c r="I5" s="947" t="s">
        <v>331</v>
      </c>
      <c r="J5" s="948"/>
      <c r="K5" s="947" t="s">
        <v>332</v>
      </c>
      <c r="L5" s="948"/>
      <c r="M5" s="944" t="s">
        <v>333</v>
      </c>
      <c r="N5" s="945"/>
      <c r="O5" s="944" t="s">
        <v>264</v>
      </c>
      <c r="P5" s="945"/>
      <c r="Q5" s="944" t="s">
        <v>265</v>
      </c>
      <c r="R5" s="945"/>
      <c r="S5" s="944" t="s">
        <v>280</v>
      </c>
      <c r="T5" s="945"/>
      <c r="U5" s="396"/>
      <c r="V5" s="465"/>
      <c r="AG5" s="947" t="s">
        <v>263</v>
      </c>
      <c r="AH5" s="948"/>
      <c r="AI5" s="947" t="s">
        <v>330</v>
      </c>
      <c r="AJ5" s="948"/>
      <c r="AK5" s="947" t="s">
        <v>352</v>
      </c>
      <c r="AL5" s="948"/>
      <c r="AM5" s="947" t="s">
        <v>331</v>
      </c>
      <c r="AN5" s="948"/>
      <c r="AO5" s="947" t="s">
        <v>332</v>
      </c>
      <c r="AP5" s="948"/>
      <c r="AQ5" s="944" t="s">
        <v>333</v>
      </c>
      <c r="AR5" s="945"/>
      <c r="AS5" s="944" t="s">
        <v>264</v>
      </c>
      <c r="AT5" s="945"/>
      <c r="AU5" s="944" t="s">
        <v>265</v>
      </c>
      <c r="AV5" s="945"/>
      <c r="AW5" s="944" t="s">
        <v>280</v>
      </c>
      <c r="AX5" s="945"/>
      <c r="AY5" s="396"/>
      <c r="AZ5" s="465"/>
    </row>
    <row r="6" spans="1:52" ht="12" customHeight="1">
      <c r="A6" s="27"/>
      <c r="B6" s="28"/>
      <c r="C6" s="270" t="s">
        <v>57</v>
      </c>
      <c r="D6" s="397" t="s">
        <v>58</v>
      </c>
      <c r="E6" s="270" t="s">
        <v>57</v>
      </c>
      <c r="F6" s="397" t="s">
        <v>58</v>
      </c>
      <c r="G6" s="270" t="s">
        <v>57</v>
      </c>
      <c r="H6" s="397" t="s">
        <v>58</v>
      </c>
      <c r="I6" s="270" t="s">
        <v>57</v>
      </c>
      <c r="J6" s="397" t="s">
        <v>58</v>
      </c>
      <c r="K6" s="270" t="s">
        <v>57</v>
      </c>
      <c r="L6" s="397" t="s">
        <v>58</v>
      </c>
      <c r="M6" s="270" t="s">
        <v>57</v>
      </c>
      <c r="N6" s="397" t="s">
        <v>58</v>
      </c>
      <c r="O6" s="270" t="s">
        <v>57</v>
      </c>
      <c r="P6" s="560" t="s">
        <v>58</v>
      </c>
      <c r="Q6" s="270" t="s">
        <v>57</v>
      </c>
      <c r="R6" s="560" t="s">
        <v>58</v>
      </c>
      <c r="S6" s="270" t="s">
        <v>57</v>
      </c>
      <c r="T6" s="556" t="s">
        <v>58</v>
      </c>
      <c r="U6" s="270" t="s">
        <v>57</v>
      </c>
      <c r="V6" s="397" t="s">
        <v>58</v>
      </c>
      <c r="AG6" s="270" t="s">
        <v>57</v>
      </c>
      <c r="AH6" s="397" t="s">
        <v>58</v>
      </c>
      <c r="AI6" s="270" t="s">
        <v>57</v>
      </c>
      <c r="AJ6" s="397" t="s">
        <v>58</v>
      </c>
      <c r="AK6" s="270" t="s">
        <v>57</v>
      </c>
      <c r="AL6" s="397" t="s">
        <v>58</v>
      </c>
      <c r="AM6" s="270" t="s">
        <v>57</v>
      </c>
      <c r="AN6" s="397" t="s">
        <v>58</v>
      </c>
      <c r="AO6" s="270" t="s">
        <v>57</v>
      </c>
      <c r="AP6" s="397" t="s">
        <v>58</v>
      </c>
      <c r="AQ6" s="270" t="s">
        <v>57</v>
      </c>
      <c r="AR6" s="397" t="s">
        <v>58</v>
      </c>
      <c r="AS6" s="270" t="s">
        <v>57</v>
      </c>
      <c r="AT6" s="560" t="s">
        <v>58</v>
      </c>
      <c r="AU6" s="270" t="s">
        <v>57</v>
      </c>
      <c r="AV6" s="560" t="s">
        <v>58</v>
      </c>
      <c r="AW6" s="270" t="s">
        <v>57</v>
      </c>
      <c r="AX6" s="556" t="s">
        <v>58</v>
      </c>
      <c r="AY6" s="270" t="s">
        <v>57</v>
      </c>
      <c r="AZ6" s="397" t="s">
        <v>58</v>
      </c>
    </row>
    <row r="7" spans="1:52" s="282" customFormat="1" ht="9" thickBot="1">
      <c r="A7" s="760" t="s">
        <v>483</v>
      </c>
      <c r="B7" s="472"/>
      <c r="C7" s="280" t="s">
        <v>62</v>
      </c>
      <c r="D7" s="281" t="s">
        <v>62</v>
      </c>
      <c r="E7" s="280" t="s">
        <v>62</v>
      </c>
      <c r="F7" s="281" t="s">
        <v>62</v>
      </c>
      <c r="G7" s="280" t="s">
        <v>62</v>
      </c>
      <c r="H7" s="281" t="s">
        <v>62</v>
      </c>
      <c r="I7" s="280" t="s">
        <v>62</v>
      </c>
      <c r="J7" s="281" t="s">
        <v>62</v>
      </c>
      <c r="K7" s="280" t="s">
        <v>62</v>
      </c>
      <c r="L7" s="281" t="s">
        <v>62</v>
      </c>
      <c r="M7" s="280" t="s">
        <v>62</v>
      </c>
      <c r="N7" s="281" t="s">
        <v>62</v>
      </c>
      <c r="O7" s="280" t="s">
        <v>62</v>
      </c>
      <c r="P7" s="561" t="s">
        <v>62</v>
      </c>
      <c r="Q7" s="280" t="s">
        <v>62</v>
      </c>
      <c r="R7" s="561" t="s">
        <v>62</v>
      </c>
      <c r="S7" s="280" t="s">
        <v>62</v>
      </c>
      <c r="T7" s="561" t="s">
        <v>62</v>
      </c>
      <c r="U7" s="566" t="s">
        <v>62</v>
      </c>
      <c r="V7" s="520" t="s">
        <v>62</v>
      </c>
      <c r="AG7" s="280" t="s">
        <v>62</v>
      </c>
      <c r="AH7" s="281" t="s">
        <v>62</v>
      </c>
      <c r="AI7" s="280" t="s">
        <v>62</v>
      </c>
      <c r="AJ7" s="281" t="s">
        <v>62</v>
      </c>
      <c r="AK7" s="280" t="s">
        <v>62</v>
      </c>
      <c r="AL7" s="281" t="s">
        <v>62</v>
      </c>
      <c r="AM7" s="280" t="s">
        <v>62</v>
      </c>
      <c r="AN7" s="281" t="s">
        <v>62</v>
      </c>
      <c r="AO7" s="280" t="s">
        <v>62</v>
      </c>
      <c r="AP7" s="281" t="s">
        <v>62</v>
      </c>
      <c r="AQ7" s="280" t="s">
        <v>62</v>
      </c>
      <c r="AR7" s="281" t="s">
        <v>62</v>
      </c>
      <c r="AS7" s="280" t="s">
        <v>62</v>
      </c>
      <c r="AT7" s="561" t="s">
        <v>62</v>
      </c>
      <c r="AU7" s="280" t="s">
        <v>62</v>
      </c>
      <c r="AV7" s="561" t="s">
        <v>62</v>
      </c>
      <c r="AW7" s="280" t="s">
        <v>62</v>
      </c>
      <c r="AX7" s="561" t="s">
        <v>62</v>
      </c>
      <c r="AY7" s="566" t="s">
        <v>62</v>
      </c>
      <c r="AZ7" s="520" t="s">
        <v>62</v>
      </c>
    </row>
    <row r="8" spans="1:52" ht="12.75" customHeight="1" thickTop="1">
      <c r="A8" s="20" t="str">
        <f>'t1'!A6</f>
        <v>MAGIST.  CON FUNZ. DIRETT. APICALI GIUDICANTI DI LEGITTIMITÀ</v>
      </c>
      <c r="B8" s="226" t="str">
        <f>'t1'!B6</f>
        <v>0D0MT1</v>
      </c>
      <c r="C8" s="771">
        <f>ROUND(AG8,0)</f>
        <v>0</v>
      </c>
      <c r="D8" s="772">
        <f aca="true" t="shared" si="0" ref="D8:D16">ROUND(AH8,0)</f>
        <v>0</v>
      </c>
      <c r="E8" s="771">
        <f aca="true" t="shared" si="1" ref="E8:E16">ROUND(AI8,0)</f>
        <v>0</v>
      </c>
      <c r="F8" s="772">
        <f aca="true" t="shared" si="2" ref="F8:F16">ROUND(AJ8,0)</f>
        <v>0</v>
      </c>
      <c r="G8" s="771">
        <f aca="true" t="shared" si="3" ref="G8:G16">ROUND(AK8,0)</f>
        <v>0</v>
      </c>
      <c r="H8" s="772">
        <f aca="true" t="shared" si="4" ref="H8:H16">ROUND(AL8,0)</f>
        <v>0</v>
      </c>
      <c r="I8" s="771">
        <f aca="true" t="shared" si="5" ref="I8:I16">ROUND(AM8,0)</f>
        <v>0</v>
      </c>
      <c r="J8" s="772">
        <f aca="true" t="shared" si="6" ref="J8:J16">ROUND(AN8,0)</f>
        <v>0</v>
      </c>
      <c r="K8" s="771">
        <f aca="true" t="shared" si="7" ref="K8:K16">ROUND(AO8,0)</f>
        <v>0</v>
      </c>
      <c r="L8" s="772">
        <f aca="true" t="shared" si="8" ref="L8:L16">ROUND(AP8,0)</f>
        <v>0</v>
      </c>
      <c r="M8" s="771">
        <f aca="true" t="shared" si="9" ref="M8:M16">ROUND(AQ8,0)</f>
        <v>0</v>
      </c>
      <c r="N8" s="772">
        <f aca="true" t="shared" si="10" ref="N8:N16">ROUND(AR8,0)</f>
        <v>0</v>
      </c>
      <c r="O8" s="773">
        <f aca="true" t="shared" si="11" ref="O8:O16">ROUND(AS8,0)</f>
        <v>0</v>
      </c>
      <c r="P8" s="774">
        <f aca="true" t="shared" si="12" ref="P8:P16">ROUND(AT8,0)</f>
        <v>0</v>
      </c>
      <c r="Q8" s="773">
        <f aca="true" t="shared" si="13" ref="Q8:Q16">ROUND(AU8,0)</f>
        <v>0</v>
      </c>
      <c r="R8" s="774">
        <f aca="true" t="shared" si="14" ref="R8:R16">ROUND(AV8,0)</f>
        <v>0</v>
      </c>
      <c r="S8" s="773">
        <f aca="true" t="shared" si="15" ref="S8:S16">ROUND(AW8,0)</f>
        <v>0</v>
      </c>
      <c r="T8" s="775">
        <f aca="true" t="shared" si="16" ref="T8:T16">ROUND(AX8,0)</f>
        <v>0</v>
      </c>
      <c r="U8" s="567">
        <f>SUM(C8,E8,G8,I8,K8,M8,O8,Q8,S8)</f>
        <v>0</v>
      </c>
      <c r="V8" s="568">
        <f>SUM(D8,F8,H8,J8,L8,N8,P8,R8,T8)</f>
        <v>0</v>
      </c>
      <c r="AG8" s="266"/>
      <c r="AH8" s="267"/>
      <c r="AI8" s="266"/>
      <c r="AJ8" s="267"/>
      <c r="AK8" s="266"/>
      <c r="AL8" s="267"/>
      <c r="AM8" s="266"/>
      <c r="AN8" s="267"/>
      <c r="AO8" s="266"/>
      <c r="AP8" s="267"/>
      <c r="AQ8" s="266"/>
      <c r="AR8" s="267"/>
      <c r="AS8" s="565"/>
      <c r="AT8" s="562"/>
      <c r="AU8" s="565"/>
      <c r="AV8" s="562"/>
      <c r="AW8" s="565"/>
      <c r="AX8" s="557"/>
      <c r="AY8" s="567">
        <f>SUM(AG8,AI8,AK8,AM8,AO8,AQ8,AS8,AU8,AW8)</f>
        <v>0</v>
      </c>
      <c r="AZ8" s="568">
        <f>SUM(AH8,AJ8,AL8,AN8,AP8,AR8,AT8,AV8,AX8)</f>
        <v>0</v>
      </c>
    </row>
    <row r="9" spans="1:52" ht="12.75" customHeight="1">
      <c r="A9" s="148" t="str">
        <f>'t1'!A7</f>
        <v>MAGIST. CON FUNZ. DIRETT. APICALI REQUIRENTI DI LEGITTIMITÀ</v>
      </c>
      <c r="B9" s="219" t="str">
        <f>'t1'!B7</f>
        <v>0D0MT2</v>
      </c>
      <c r="C9" s="776">
        <f aca="true" t="shared" si="17" ref="C9:C16">ROUND(AG9,0)</f>
        <v>0</v>
      </c>
      <c r="D9" s="777">
        <f t="shared" si="0"/>
        <v>0</v>
      </c>
      <c r="E9" s="776">
        <f t="shared" si="1"/>
        <v>0</v>
      </c>
      <c r="F9" s="777">
        <f t="shared" si="2"/>
        <v>0</v>
      </c>
      <c r="G9" s="776">
        <f t="shared" si="3"/>
        <v>0</v>
      </c>
      <c r="H9" s="777">
        <f t="shared" si="4"/>
        <v>0</v>
      </c>
      <c r="I9" s="776">
        <f t="shared" si="5"/>
        <v>0</v>
      </c>
      <c r="J9" s="777">
        <f t="shared" si="6"/>
        <v>0</v>
      </c>
      <c r="K9" s="776">
        <f t="shared" si="7"/>
        <v>0</v>
      </c>
      <c r="L9" s="777">
        <f t="shared" si="8"/>
        <v>0</v>
      </c>
      <c r="M9" s="776">
        <f t="shared" si="9"/>
        <v>0</v>
      </c>
      <c r="N9" s="777">
        <f t="shared" si="10"/>
        <v>0</v>
      </c>
      <c r="O9" s="776">
        <f t="shared" si="11"/>
        <v>0</v>
      </c>
      <c r="P9" s="778">
        <f t="shared" si="12"/>
        <v>0</v>
      </c>
      <c r="Q9" s="776">
        <f t="shared" si="13"/>
        <v>0</v>
      </c>
      <c r="R9" s="778">
        <f t="shared" si="14"/>
        <v>0</v>
      </c>
      <c r="S9" s="776">
        <f t="shared" si="15"/>
        <v>0</v>
      </c>
      <c r="T9" s="779">
        <f t="shared" si="16"/>
        <v>0</v>
      </c>
      <c r="U9" s="519">
        <f aca="true" t="shared" si="18" ref="U9:U16">SUM(C9,E9,G9,I9,K9,M9,O9,Q9,S9)</f>
        <v>0</v>
      </c>
      <c r="V9" s="521">
        <f aca="true" t="shared" si="19" ref="V9:V16">SUM(D9,F9,H9,J9,L9,N9,P9,R9,T9)</f>
        <v>0</v>
      </c>
      <c r="AG9" s="268"/>
      <c r="AH9" s="269"/>
      <c r="AI9" s="268"/>
      <c r="AJ9" s="269"/>
      <c r="AK9" s="268"/>
      <c r="AL9" s="269"/>
      <c r="AM9" s="268"/>
      <c r="AN9" s="269"/>
      <c r="AO9" s="268"/>
      <c r="AP9" s="269"/>
      <c r="AQ9" s="268"/>
      <c r="AR9" s="269"/>
      <c r="AS9" s="268"/>
      <c r="AT9" s="563"/>
      <c r="AU9" s="268"/>
      <c r="AV9" s="563"/>
      <c r="AW9" s="268"/>
      <c r="AX9" s="558"/>
      <c r="AY9" s="519">
        <f aca="true" t="shared" si="20" ref="AY9:AY16">SUM(AG9,AI9,AK9,AM9,AO9,AQ9,AS9,AU9,AW9)</f>
        <v>0</v>
      </c>
      <c r="AZ9" s="521">
        <f aca="true" t="shared" si="21" ref="AZ9:AZ16">SUM(AH9,AJ9,AL9,AN9,AP9,AR9,AT9,AV9,AX9)</f>
        <v>0</v>
      </c>
    </row>
    <row r="10" spans="1:52" ht="12.75" customHeight="1">
      <c r="A10" s="148" t="str">
        <f>'t1'!A8</f>
        <v>MAGISTRATI CON FUNZIONI DIRETTIVE SUPERIORI DI LEGITTIMITÀ</v>
      </c>
      <c r="B10" s="219" t="str">
        <f>'t1'!B8</f>
        <v>0D0MT3</v>
      </c>
      <c r="C10" s="776">
        <f t="shared" si="17"/>
        <v>0</v>
      </c>
      <c r="D10" s="777">
        <f t="shared" si="0"/>
        <v>0</v>
      </c>
      <c r="E10" s="776">
        <f t="shared" si="1"/>
        <v>0</v>
      </c>
      <c r="F10" s="777">
        <f t="shared" si="2"/>
        <v>0</v>
      </c>
      <c r="G10" s="776">
        <f t="shared" si="3"/>
        <v>0</v>
      </c>
      <c r="H10" s="777">
        <f t="shared" si="4"/>
        <v>0</v>
      </c>
      <c r="I10" s="776">
        <f t="shared" si="5"/>
        <v>0</v>
      </c>
      <c r="J10" s="777">
        <f t="shared" si="6"/>
        <v>0</v>
      </c>
      <c r="K10" s="776">
        <f t="shared" si="7"/>
        <v>0</v>
      </c>
      <c r="L10" s="777">
        <f t="shared" si="8"/>
        <v>0</v>
      </c>
      <c r="M10" s="776">
        <f t="shared" si="9"/>
        <v>0</v>
      </c>
      <c r="N10" s="777">
        <f t="shared" si="10"/>
        <v>0</v>
      </c>
      <c r="O10" s="776">
        <f t="shared" si="11"/>
        <v>0</v>
      </c>
      <c r="P10" s="778">
        <f t="shared" si="12"/>
        <v>0</v>
      </c>
      <c r="Q10" s="776">
        <f t="shared" si="13"/>
        <v>0</v>
      </c>
      <c r="R10" s="778">
        <f t="shared" si="14"/>
        <v>0</v>
      </c>
      <c r="S10" s="776">
        <f t="shared" si="15"/>
        <v>0</v>
      </c>
      <c r="T10" s="779">
        <f t="shared" si="16"/>
        <v>0</v>
      </c>
      <c r="U10" s="519">
        <f t="shared" si="18"/>
        <v>0</v>
      </c>
      <c r="V10" s="521">
        <f t="shared" si="19"/>
        <v>0</v>
      </c>
      <c r="AG10" s="268"/>
      <c r="AH10" s="269"/>
      <c r="AI10" s="268"/>
      <c r="AJ10" s="269"/>
      <c r="AK10" s="268"/>
      <c r="AL10" s="269"/>
      <c r="AM10" s="268"/>
      <c r="AN10" s="269"/>
      <c r="AO10" s="268"/>
      <c r="AP10" s="269"/>
      <c r="AQ10" s="268"/>
      <c r="AR10" s="269"/>
      <c r="AS10" s="268"/>
      <c r="AT10" s="563"/>
      <c r="AU10" s="268"/>
      <c r="AV10" s="563"/>
      <c r="AW10" s="268"/>
      <c r="AX10" s="558"/>
      <c r="AY10" s="519">
        <f t="shared" si="20"/>
        <v>0</v>
      </c>
      <c r="AZ10" s="521">
        <f t="shared" si="21"/>
        <v>0</v>
      </c>
    </row>
    <row r="11" spans="1:52" ht="12.75" customHeight="1">
      <c r="A11" s="148" t="str">
        <f>'t1'!A9</f>
        <v>MAGISTRATI ORDINARI VII VALUT. PROF.</v>
      </c>
      <c r="B11" s="219" t="str">
        <f>'t1'!B9</f>
        <v>0D0MT4</v>
      </c>
      <c r="C11" s="776">
        <f t="shared" si="17"/>
        <v>0</v>
      </c>
      <c r="D11" s="777">
        <f t="shared" si="0"/>
        <v>0</v>
      </c>
      <c r="E11" s="776">
        <f t="shared" si="1"/>
        <v>0</v>
      </c>
      <c r="F11" s="777">
        <f t="shared" si="2"/>
        <v>0</v>
      </c>
      <c r="G11" s="776">
        <f t="shared" si="3"/>
        <v>0</v>
      </c>
      <c r="H11" s="777">
        <f t="shared" si="4"/>
        <v>0</v>
      </c>
      <c r="I11" s="776">
        <f t="shared" si="5"/>
        <v>0</v>
      </c>
      <c r="J11" s="777">
        <f t="shared" si="6"/>
        <v>0</v>
      </c>
      <c r="K11" s="776">
        <f t="shared" si="7"/>
        <v>0</v>
      </c>
      <c r="L11" s="777">
        <f t="shared" si="8"/>
        <v>0</v>
      </c>
      <c r="M11" s="776">
        <f t="shared" si="9"/>
        <v>0</v>
      </c>
      <c r="N11" s="777">
        <f t="shared" si="10"/>
        <v>0</v>
      </c>
      <c r="O11" s="776">
        <f t="shared" si="11"/>
        <v>0</v>
      </c>
      <c r="P11" s="778">
        <f t="shared" si="12"/>
        <v>0</v>
      </c>
      <c r="Q11" s="776">
        <f t="shared" si="13"/>
        <v>0</v>
      </c>
      <c r="R11" s="778">
        <f t="shared" si="14"/>
        <v>0</v>
      </c>
      <c r="S11" s="776">
        <f t="shared" si="15"/>
        <v>0</v>
      </c>
      <c r="T11" s="779">
        <f t="shared" si="16"/>
        <v>0</v>
      </c>
      <c r="U11" s="519">
        <f t="shared" si="18"/>
        <v>0</v>
      </c>
      <c r="V11" s="521">
        <f t="shared" si="19"/>
        <v>0</v>
      </c>
      <c r="AG11" s="268"/>
      <c r="AH11" s="269"/>
      <c r="AI11" s="268"/>
      <c r="AJ11" s="269"/>
      <c r="AK11" s="268"/>
      <c r="AL11" s="269"/>
      <c r="AM11" s="268"/>
      <c r="AN11" s="269"/>
      <c r="AO11" s="268"/>
      <c r="AP11" s="269"/>
      <c r="AQ11" s="268"/>
      <c r="AR11" s="269"/>
      <c r="AS11" s="268"/>
      <c r="AT11" s="563"/>
      <c r="AU11" s="268"/>
      <c r="AV11" s="563"/>
      <c r="AW11" s="268"/>
      <c r="AX11" s="558"/>
      <c r="AY11" s="519">
        <f t="shared" si="20"/>
        <v>0</v>
      </c>
      <c r="AZ11" s="521">
        <f t="shared" si="21"/>
        <v>0</v>
      </c>
    </row>
    <row r="12" spans="1:52" ht="12.75" customHeight="1">
      <c r="A12" s="148" t="str">
        <f>'t1'!A10</f>
        <v>MAGISTRATI ORDINARI V VALUT. PROF.</v>
      </c>
      <c r="B12" s="219" t="str">
        <f>'t1'!B10</f>
        <v>0D0MT5</v>
      </c>
      <c r="C12" s="776">
        <f t="shared" si="17"/>
        <v>0</v>
      </c>
      <c r="D12" s="777">
        <f t="shared" si="0"/>
        <v>0</v>
      </c>
      <c r="E12" s="776">
        <f t="shared" si="1"/>
        <v>0</v>
      </c>
      <c r="F12" s="777">
        <f t="shared" si="2"/>
        <v>0</v>
      </c>
      <c r="G12" s="776">
        <f t="shared" si="3"/>
        <v>0</v>
      </c>
      <c r="H12" s="777">
        <f t="shared" si="4"/>
        <v>0</v>
      </c>
      <c r="I12" s="776">
        <f t="shared" si="5"/>
        <v>0</v>
      </c>
      <c r="J12" s="777">
        <f t="shared" si="6"/>
        <v>0</v>
      </c>
      <c r="K12" s="776">
        <f t="shared" si="7"/>
        <v>0</v>
      </c>
      <c r="L12" s="777">
        <f t="shared" si="8"/>
        <v>0</v>
      </c>
      <c r="M12" s="776">
        <f t="shared" si="9"/>
        <v>0</v>
      </c>
      <c r="N12" s="777">
        <f t="shared" si="10"/>
        <v>0</v>
      </c>
      <c r="O12" s="776">
        <f t="shared" si="11"/>
        <v>0</v>
      </c>
      <c r="P12" s="778">
        <f t="shared" si="12"/>
        <v>0</v>
      </c>
      <c r="Q12" s="776">
        <f t="shared" si="13"/>
        <v>0</v>
      </c>
      <c r="R12" s="778">
        <f t="shared" si="14"/>
        <v>0</v>
      </c>
      <c r="S12" s="776">
        <f t="shared" si="15"/>
        <v>0</v>
      </c>
      <c r="T12" s="779">
        <f t="shared" si="16"/>
        <v>0</v>
      </c>
      <c r="U12" s="519">
        <f t="shared" si="18"/>
        <v>0</v>
      </c>
      <c r="V12" s="521">
        <f t="shared" si="19"/>
        <v>0</v>
      </c>
      <c r="AG12" s="268"/>
      <c r="AH12" s="269"/>
      <c r="AI12" s="268"/>
      <c r="AJ12" s="269"/>
      <c r="AK12" s="268"/>
      <c r="AL12" s="269"/>
      <c r="AM12" s="268"/>
      <c r="AN12" s="269"/>
      <c r="AO12" s="268"/>
      <c r="AP12" s="269"/>
      <c r="AQ12" s="268"/>
      <c r="AR12" s="269"/>
      <c r="AS12" s="268"/>
      <c r="AT12" s="563"/>
      <c r="AU12" s="268"/>
      <c r="AV12" s="563"/>
      <c r="AW12" s="268"/>
      <c r="AX12" s="558"/>
      <c r="AY12" s="519">
        <f t="shared" si="20"/>
        <v>0</v>
      </c>
      <c r="AZ12" s="521">
        <f t="shared" si="21"/>
        <v>0</v>
      </c>
    </row>
    <row r="13" spans="1:52" ht="12.75" customHeight="1">
      <c r="A13" s="148" t="str">
        <f>'t1'!A11</f>
        <v>MAGISTRATI ORDINARI DOPO 1 ANNO DALLA III VALUT. PROF.</v>
      </c>
      <c r="B13" s="219" t="str">
        <f>'t1'!B11</f>
        <v>0D0MT6</v>
      </c>
      <c r="C13" s="776">
        <f t="shared" si="17"/>
        <v>0</v>
      </c>
      <c r="D13" s="777">
        <f t="shared" si="0"/>
        <v>0</v>
      </c>
      <c r="E13" s="776">
        <f t="shared" si="1"/>
        <v>0</v>
      </c>
      <c r="F13" s="777">
        <f t="shared" si="2"/>
        <v>0</v>
      </c>
      <c r="G13" s="776">
        <f t="shared" si="3"/>
        <v>0</v>
      </c>
      <c r="H13" s="777">
        <f t="shared" si="4"/>
        <v>0</v>
      </c>
      <c r="I13" s="776">
        <f t="shared" si="5"/>
        <v>0</v>
      </c>
      <c r="J13" s="777">
        <f t="shared" si="6"/>
        <v>0</v>
      </c>
      <c r="K13" s="776">
        <f t="shared" si="7"/>
        <v>0</v>
      </c>
      <c r="L13" s="777">
        <f t="shared" si="8"/>
        <v>0</v>
      </c>
      <c r="M13" s="776">
        <f t="shared" si="9"/>
        <v>0</v>
      </c>
      <c r="N13" s="777">
        <f t="shared" si="10"/>
        <v>0</v>
      </c>
      <c r="O13" s="776">
        <f t="shared" si="11"/>
        <v>0</v>
      </c>
      <c r="P13" s="778">
        <f t="shared" si="12"/>
        <v>0</v>
      </c>
      <c r="Q13" s="776">
        <f t="shared" si="13"/>
        <v>0</v>
      </c>
      <c r="R13" s="778">
        <f t="shared" si="14"/>
        <v>0</v>
      </c>
      <c r="S13" s="776">
        <f t="shared" si="15"/>
        <v>0</v>
      </c>
      <c r="T13" s="779">
        <f t="shared" si="16"/>
        <v>0</v>
      </c>
      <c r="U13" s="519">
        <f t="shared" si="18"/>
        <v>0</v>
      </c>
      <c r="V13" s="521">
        <f t="shared" si="19"/>
        <v>0</v>
      </c>
      <c r="AG13" s="268"/>
      <c r="AH13" s="269"/>
      <c r="AI13" s="268"/>
      <c r="AJ13" s="269"/>
      <c r="AK13" s="268"/>
      <c r="AL13" s="269"/>
      <c r="AM13" s="268"/>
      <c r="AN13" s="269"/>
      <c r="AO13" s="268"/>
      <c r="AP13" s="269"/>
      <c r="AQ13" s="268"/>
      <c r="AR13" s="269"/>
      <c r="AS13" s="268"/>
      <c r="AT13" s="563"/>
      <c r="AU13" s="268"/>
      <c r="AV13" s="563"/>
      <c r="AW13" s="268"/>
      <c r="AX13" s="558"/>
      <c r="AY13" s="519">
        <f t="shared" si="20"/>
        <v>0</v>
      </c>
      <c r="AZ13" s="521">
        <f t="shared" si="21"/>
        <v>0</v>
      </c>
    </row>
    <row r="14" spans="1:52" ht="12.75" customHeight="1">
      <c r="A14" s="148" t="str">
        <f>'t1'!A12</f>
        <v>MAGISTRATI ORDINARI  I  VALUT. PROF.</v>
      </c>
      <c r="B14" s="219" t="str">
        <f>'t1'!B12</f>
        <v>0D0MT7</v>
      </c>
      <c r="C14" s="776">
        <f t="shared" si="17"/>
        <v>0</v>
      </c>
      <c r="D14" s="777">
        <f t="shared" si="0"/>
        <v>0</v>
      </c>
      <c r="E14" s="776">
        <f t="shared" si="1"/>
        <v>0</v>
      </c>
      <c r="F14" s="777">
        <f t="shared" si="2"/>
        <v>0</v>
      </c>
      <c r="G14" s="776">
        <f t="shared" si="3"/>
        <v>0</v>
      </c>
      <c r="H14" s="777">
        <f t="shared" si="4"/>
        <v>0</v>
      </c>
      <c r="I14" s="776">
        <f t="shared" si="5"/>
        <v>0</v>
      </c>
      <c r="J14" s="777">
        <f t="shared" si="6"/>
        <v>0</v>
      </c>
      <c r="K14" s="776">
        <f t="shared" si="7"/>
        <v>0</v>
      </c>
      <c r="L14" s="777">
        <f t="shared" si="8"/>
        <v>0</v>
      </c>
      <c r="M14" s="776">
        <f t="shared" si="9"/>
        <v>0</v>
      </c>
      <c r="N14" s="777">
        <f t="shared" si="10"/>
        <v>0</v>
      </c>
      <c r="O14" s="776">
        <f t="shared" si="11"/>
        <v>0</v>
      </c>
      <c r="P14" s="778">
        <f t="shared" si="12"/>
        <v>0</v>
      </c>
      <c r="Q14" s="776">
        <f t="shared" si="13"/>
        <v>0</v>
      </c>
      <c r="R14" s="778">
        <f t="shared" si="14"/>
        <v>0</v>
      </c>
      <c r="S14" s="776">
        <f t="shared" si="15"/>
        <v>0</v>
      </c>
      <c r="T14" s="779">
        <f t="shared" si="16"/>
        <v>0</v>
      </c>
      <c r="U14" s="519">
        <f t="shared" si="18"/>
        <v>0</v>
      </c>
      <c r="V14" s="521">
        <f t="shared" si="19"/>
        <v>0</v>
      </c>
      <c r="AG14" s="268"/>
      <c r="AH14" s="269"/>
      <c r="AI14" s="268"/>
      <c r="AJ14" s="269"/>
      <c r="AK14" s="268"/>
      <c r="AL14" s="269"/>
      <c r="AM14" s="268"/>
      <c r="AN14" s="269"/>
      <c r="AO14" s="268"/>
      <c r="AP14" s="269"/>
      <c r="AQ14" s="268"/>
      <c r="AR14" s="269"/>
      <c r="AS14" s="268"/>
      <c r="AT14" s="563"/>
      <c r="AU14" s="268"/>
      <c r="AV14" s="563"/>
      <c r="AW14" s="268"/>
      <c r="AX14" s="558"/>
      <c r="AY14" s="519">
        <f t="shared" si="20"/>
        <v>0</v>
      </c>
      <c r="AZ14" s="521">
        <f t="shared" si="21"/>
        <v>0</v>
      </c>
    </row>
    <row r="15" spans="1:52" ht="12.75" customHeight="1">
      <c r="A15" s="148" t="str">
        <f>'t1'!A13</f>
        <v>MAGISTRATI ORDINARI</v>
      </c>
      <c r="B15" s="219" t="str">
        <f>'t1'!B13</f>
        <v>0D0MT8</v>
      </c>
      <c r="C15" s="776">
        <f t="shared" si="17"/>
        <v>0</v>
      </c>
      <c r="D15" s="777">
        <f t="shared" si="0"/>
        <v>0</v>
      </c>
      <c r="E15" s="776">
        <f t="shared" si="1"/>
        <v>0</v>
      </c>
      <c r="F15" s="777">
        <f t="shared" si="2"/>
        <v>0</v>
      </c>
      <c r="G15" s="776">
        <f t="shared" si="3"/>
        <v>0</v>
      </c>
      <c r="H15" s="777">
        <f t="shared" si="4"/>
        <v>0</v>
      </c>
      <c r="I15" s="776">
        <f t="shared" si="5"/>
        <v>0</v>
      </c>
      <c r="J15" s="777">
        <f t="shared" si="6"/>
        <v>0</v>
      </c>
      <c r="K15" s="776">
        <f t="shared" si="7"/>
        <v>0</v>
      </c>
      <c r="L15" s="777">
        <f t="shared" si="8"/>
        <v>0</v>
      </c>
      <c r="M15" s="776">
        <f t="shared" si="9"/>
        <v>0</v>
      </c>
      <c r="N15" s="777">
        <f t="shared" si="10"/>
        <v>0</v>
      </c>
      <c r="O15" s="776">
        <f t="shared" si="11"/>
        <v>0</v>
      </c>
      <c r="P15" s="778">
        <f t="shared" si="12"/>
        <v>0</v>
      </c>
      <c r="Q15" s="776">
        <f t="shared" si="13"/>
        <v>0</v>
      </c>
      <c r="R15" s="778">
        <f t="shared" si="14"/>
        <v>0</v>
      </c>
      <c r="S15" s="776">
        <f t="shared" si="15"/>
        <v>0</v>
      </c>
      <c r="T15" s="779">
        <f t="shared" si="16"/>
        <v>0</v>
      </c>
      <c r="U15" s="519">
        <f t="shared" si="18"/>
        <v>0</v>
      </c>
      <c r="V15" s="521">
        <f t="shared" si="19"/>
        <v>0</v>
      </c>
      <c r="AG15" s="268"/>
      <c r="AH15" s="269"/>
      <c r="AI15" s="268"/>
      <c r="AJ15" s="269"/>
      <c r="AK15" s="268"/>
      <c r="AL15" s="269"/>
      <c r="AM15" s="268"/>
      <c r="AN15" s="269"/>
      <c r="AO15" s="268"/>
      <c r="AP15" s="269"/>
      <c r="AQ15" s="268"/>
      <c r="AR15" s="269"/>
      <c r="AS15" s="268"/>
      <c r="AT15" s="563"/>
      <c r="AU15" s="268"/>
      <c r="AV15" s="563"/>
      <c r="AW15" s="268"/>
      <c r="AX15" s="558"/>
      <c r="AY15" s="519">
        <f t="shared" si="20"/>
        <v>0</v>
      </c>
      <c r="AZ15" s="521">
        <f t="shared" si="21"/>
        <v>0</v>
      </c>
    </row>
    <row r="16" spans="1:52" ht="12.75" customHeight="1" thickBot="1">
      <c r="A16" s="148" t="str">
        <f>'t1'!A14</f>
        <v>MAGISTRATI ORDINARI IN TIROCINIO</v>
      </c>
      <c r="B16" s="219" t="str">
        <f>'t1'!B14</f>
        <v>0D0MT9</v>
      </c>
      <c r="C16" s="776">
        <f t="shared" si="17"/>
        <v>0</v>
      </c>
      <c r="D16" s="777">
        <f t="shared" si="0"/>
        <v>0</v>
      </c>
      <c r="E16" s="776">
        <f t="shared" si="1"/>
        <v>0</v>
      </c>
      <c r="F16" s="777">
        <f t="shared" si="2"/>
        <v>0</v>
      </c>
      <c r="G16" s="776">
        <f t="shared" si="3"/>
        <v>0</v>
      </c>
      <c r="H16" s="777">
        <f t="shared" si="4"/>
        <v>0</v>
      </c>
      <c r="I16" s="776">
        <f t="shared" si="5"/>
        <v>0</v>
      </c>
      <c r="J16" s="777">
        <f t="shared" si="6"/>
        <v>0</v>
      </c>
      <c r="K16" s="776">
        <f t="shared" si="7"/>
        <v>0</v>
      </c>
      <c r="L16" s="777">
        <f t="shared" si="8"/>
        <v>0</v>
      </c>
      <c r="M16" s="776">
        <f t="shared" si="9"/>
        <v>0</v>
      </c>
      <c r="N16" s="777">
        <f t="shared" si="10"/>
        <v>0</v>
      </c>
      <c r="O16" s="776">
        <f t="shared" si="11"/>
        <v>0</v>
      </c>
      <c r="P16" s="778">
        <f t="shared" si="12"/>
        <v>0</v>
      </c>
      <c r="Q16" s="776">
        <f t="shared" si="13"/>
        <v>0</v>
      </c>
      <c r="R16" s="778">
        <f t="shared" si="14"/>
        <v>0</v>
      </c>
      <c r="S16" s="776">
        <f t="shared" si="15"/>
        <v>0</v>
      </c>
      <c r="T16" s="779">
        <f t="shared" si="16"/>
        <v>0</v>
      </c>
      <c r="U16" s="519">
        <f t="shared" si="18"/>
        <v>0</v>
      </c>
      <c r="V16" s="521">
        <f t="shared" si="19"/>
        <v>0</v>
      </c>
      <c r="AG16" s="268"/>
      <c r="AH16" s="269"/>
      <c r="AI16" s="268"/>
      <c r="AJ16" s="269"/>
      <c r="AK16" s="268"/>
      <c r="AL16" s="269"/>
      <c r="AM16" s="268"/>
      <c r="AN16" s="269"/>
      <c r="AO16" s="268"/>
      <c r="AP16" s="269"/>
      <c r="AQ16" s="268"/>
      <c r="AR16" s="269"/>
      <c r="AS16" s="268"/>
      <c r="AT16" s="563"/>
      <c r="AU16" s="268"/>
      <c r="AV16" s="563"/>
      <c r="AW16" s="268"/>
      <c r="AX16" s="558"/>
      <c r="AY16" s="519">
        <f t="shared" si="20"/>
        <v>0</v>
      </c>
      <c r="AZ16" s="521">
        <f t="shared" si="21"/>
        <v>0</v>
      </c>
    </row>
    <row r="17" spans="1:52" ht="12.75" customHeight="1" thickBot="1" thickTop="1">
      <c r="A17" s="29" t="s">
        <v>59</v>
      </c>
      <c r="B17" s="589"/>
      <c r="C17" s="462">
        <f aca="true" t="shared" si="22" ref="C17:V17">SUM(C8:C16)</f>
        <v>0</v>
      </c>
      <c r="D17" s="463">
        <f t="shared" si="22"/>
        <v>0</v>
      </c>
      <c r="E17" s="462">
        <f t="shared" si="22"/>
        <v>0</v>
      </c>
      <c r="F17" s="463">
        <f t="shared" si="22"/>
        <v>0</v>
      </c>
      <c r="G17" s="462">
        <f t="shared" si="22"/>
        <v>0</v>
      </c>
      <c r="H17" s="463">
        <f t="shared" si="22"/>
        <v>0</v>
      </c>
      <c r="I17" s="462">
        <f t="shared" si="22"/>
        <v>0</v>
      </c>
      <c r="J17" s="463">
        <f t="shared" si="22"/>
        <v>0</v>
      </c>
      <c r="K17" s="462">
        <f t="shared" si="22"/>
        <v>0</v>
      </c>
      <c r="L17" s="463">
        <f t="shared" si="22"/>
        <v>0</v>
      </c>
      <c r="M17" s="462">
        <f t="shared" si="22"/>
        <v>0</v>
      </c>
      <c r="N17" s="463">
        <f t="shared" si="22"/>
        <v>0</v>
      </c>
      <c r="O17" s="462">
        <f t="shared" si="22"/>
        <v>0</v>
      </c>
      <c r="P17" s="564">
        <f t="shared" si="22"/>
        <v>0</v>
      </c>
      <c r="Q17" s="462">
        <f t="shared" si="22"/>
        <v>0</v>
      </c>
      <c r="R17" s="564">
        <f t="shared" si="22"/>
        <v>0</v>
      </c>
      <c r="S17" s="462">
        <f t="shared" si="22"/>
        <v>0</v>
      </c>
      <c r="T17" s="559">
        <f t="shared" si="22"/>
        <v>0</v>
      </c>
      <c r="U17" s="462">
        <f t="shared" si="22"/>
        <v>0</v>
      </c>
      <c r="V17" s="464">
        <f t="shared" si="22"/>
        <v>0</v>
      </c>
      <c r="AG17" s="462">
        <f aca="true" t="shared" si="23" ref="AG17:AZ17">SUM(AG8:AG16)</f>
        <v>0</v>
      </c>
      <c r="AH17" s="463">
        <f t="shared" si="23"/>
        <v>0</v>
      </c>
      <c r="AI17" s="462">
        <f t="shared" si="23"/>
        <v>0</v>
      </c>
      <c r="AJ17" s="463">
        <f t="shared" si="23"/>
        <v>0</v>
      </c>
      <c r="AK17" s="462">
        <f t="shared" si="23"/>
        <v>0</v>
      </c>
      <c r="AL17" s="463">
        <f t="shared" si="23"/>
        <v>0</v>
      </c>
      <c r="AM17" s="462">
        <f t="shared" si="23"/>
        <v>0</v>
      </c>
      <c r="AN17" s="463">
        <f t="shared" si="23"/>
        <v>0</v>
      </c>
      <c r="AO17" s="462">
        <f t="shared" si="23"/>
        <v>0</v>
      </c>
      <c r="AP17" s="463">
        <f t="shared" si="23"/>
        <v>0</v>
      </c>
      <c r="AQ17" s="462">
        <f t="shared" si="23"/>
        <v>0</v>
      </c>
      <c r="AR17" s="463">
        <f t="shared" si="23"/>
        <v>0</v>
      </c>
      <c r="AS17" s="462">
        <f t="shared" si="23"/>
        <v>0</v>
      </c>
      <c r="AT17" s="564">
        <f t="shared" si="23"/>
        <v>0</v>
      </c>
      <c r="AU17" s="462">
        <f t="shared" si="23"/>
        <v>0</v>
      </c>
      <c r="AV17" s="564">
        <f t="shared" si="23"/>
        <v>0</v>
      </c>
      <c r="AW17" s="462">
        <f t="shared" si="23"/>
        <v>0</v>
      </c>
      <c r="AX17" s="559">
        <f t="shared" si="23"/>
        <v>0</v>
      </c>
      <c r="AY17" s="462">
        <f t="shared" si="23"/>
        <v>0</v>
      </c>
      <c r="AZ17" s="464">
        <f t="shared" si="23"/>
        <v>0</v>
      </c>
    </row>
    <row r="18" spans="1:39" ht="17.25" customHeight="1">
      <c r="A18" s="21"/>
      <c r="B18" s="7"/>
      <c r="C18" s="5"/>
      <c r="D18" s="5"/>
      <c r="E18" s="5"/>
      <c r="F18" s="5"/>
      <c r="G18" s="5"/>
      <c r="I18" s="5"/>
      <c r="AG18" s="5"/>
      <c r="AH18" s="5"/>
      <c r="AI18" s="5"/>
      <c r="AJ18" s="5"/>
      <c r="AK18" s="5"/>
      <c r="AM18" s="5"/>
    </row>
    <row r="19" ht="11.25">
      <c r="A19" s="21"/>
    </row>
  </sheetData>
  <sheetProtection password="EA98" sheet="1" formatColumns="0" selectLockedCells="1"/>
  <mergeCells count="39">
    <mergeCell ref="Q5:R5"/>
    <mergeCell ref="S5:T5"/>
    <mergeCell ref="O4:P4"/>
    <mergeCell ref="Q4:R4"/>
    <mergeCell ref="S4:T4"/>
    <mergeCell ref="M5:N5"/>
    <mergeCell ref="I2:J2"/>
    <mergeCell ref="C5:D5"/>
    <mergeCell ref="E5:F5"/>
    <mergeCell ref="E4:F4"/>
    <mergeCell ref="G2:H2"/>
    <mergeCell ref="G4:H4"/>
    <mergeCell ref="G5:H5"/>
    <mergeCell ref="AI4:AJ4"/>
    <mergeCell ref="AK4:AL4"/>
    <mergeCell ref="AM4:AN4"/>
    <mergeCell ref="AO4:AP4"/>
    <mergeCell ref="K5:L5"/>
    <mergeCell ref="I4:J4"/>
    <mergeCell ref="I5:J5"/>
    <mergeCell ref="K4:L4"/>
    <mergeCell ref="M4:N4"/>
    <mergeCell ref="O5:P5"/>
    <mergeCell ref="AK5:AL5"/>
    <mergeCell ref="AM5:AN5"/>
    <mergeCell ref="AO5:AP5"/>
    <mergeCell ref="AQ5:AR5"/>
    <mergeCell ref="AK2:AL2"/>
    <mergeCell ref="AM2:AN2"/>
    <mergeCell ref="AS5:AT5"/>
    <mergeCell ref="AU5:AV5"/>
    <mergeCell ref="AW5:AX5"/>
    <mergeCell ref="A1:AZ1"/>
    <mergeCell ref="AQ4:AR4"/>
    <mergeCell ref="AS4:AT4"/>
    <mergeCell ref="AU4:AV4"/>
    <mergeCell ref="AW4:AX4"/>
    <mergeCell ref="AG5:AH5"/>
    <mergeCell ref="AI5:AJ5"/>
  </mergeCells>
  <printOptions horizontalCentered="1" verticalCentered="1"/>
  <pageMargins left="0" right="0" top="0.1968503937007874" bottom="0.15748031496062992" header="0.15748031496062992" footer="0.1968503937007874"/>
  <pageSetup horizontalDpi="600" verticalDpi="600" orientation="landscape" paperSize="9" scale="66" r:id="rId2"/>
  <drawing r:id="rId1"/>
</worksheet>
</file>

<file path=xl/worksheets/sheet12.xml><?xml version="1.0" encoding="utf-8"?>
<worksheet xmlns="http://schemas.openxmlformats.org/spreadsheetml/2006/main" xmlns:r="http://schemas.openxmlformats.org/officeDocument/2006/relationships">
  <sheetPr codeName="Foglio19"/>
  <dimension ref="A1:AP1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60.660156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903" t="str">
        <f>'t1'!A1</f>
        <v>MAGISTRATURA ORDINARIA - anno 2019</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K1"/>
    </row>
    <row r="2" spans="1:35" ht="27" customHeight="1" thickBot="1">
      <c r="A2" s="6"/>
      <c r="I2" s="904"/>
      <c r="J2" s="904"/>
      <c r="K2" s="904"/>
      <c r="AG2" s="904"/>
      <c r="AH2" s="904"/>
      <c r="AI2" s="904"/>
    </row>
    <row r="3" spans="1:42" ht="12" thickBot="1">
      <c r="A3" s="10"/>
      <c r="B3" s="11"/>
      <c r="C3" s="121" t="s">
        <v>231</v>
      </c>
      <c r="D3" s="12"/>
      <c r="E3" s="12"/>
      <c r="F3" s="12"/>
      <c r="G3" s="12"/>
      <c r="H3" s="12"/>
      <c r="I3" s="12"/>
      <c r="J3" s="117"/>
      <c r="K3" s="117"/>
      <c r="AA3" s="121" t="s">
        <v>231</v>
      </c>
      <c r="AB3" s="12"/>
      <c r="AC3" s="12"/>
      <c r="AD3" s="12"/>
      <c r="AE3" s="12"/>
      <c r="AF3" s="12"/>
      <c r="AG3" s="12"/>
      <c r="AH3" s="117"/>
      <c r="AI3" s="117"/>
      <c r="AK3"/>
      <c r="AL3"/>
      <c r="AM3"/>
      <c r="AN3"/>
      <c r="AO3"/>
      <c r="AP3" s="843"/>
    </row>
    <row r="4" spans="1:42" ht="41.25" customHeight="1" thickTop="1">
      <c r="A4" s="22" t="s">
        <v>123</v>
      </c>
      <c r="B4" s="118" t="s">
        <v>56</v>
      </c>
      <c r="C4" s="119" t="s">
        <v>161</v>
      </c>
      <c r="D4" s="119" t="s">
        <v>124</v>
      </c>
      <c r="E4" s="119" t="s">
        <v>390</v>
      </c>
      <c r="F4" s="835" t="s">
        <v>516</v>
      </c>
      <c r="G4" s="836" t="s">
        <v>517</v>
      </c>
      <c r="H4" s="119" t="s">
        <v>93</v>
      </c>
      <c r="I4" s="119" t="s">
        <v>160</v>
      </c>
      <c r="J4" s="119" t="s">
        <v>94</v>
      </c>
      <c r="K4" s="591" t="s">
        <v>59</v>
      </c>
      <c r="AA4" s="119" t="s">
        <v>161</v>
      </c>
      <c r="AB4" s="119" t="s">
        <v>124</v>
      </c>
      <c r="AC4" s="119" t="s">
        <v>390</v>
      </c>
      <c r="AD4" s="835" t="s">
        <v>516</v>
      </c>
      <c r="AE4" s="836" t="s">
        <v>517</v>
      </c>
      <c r="AF4" s="119" t="s">
        <v>93</v>
      </c>
      <c r="AG4" s="119" t="s">
        <v>160</v>
      </c>
      <c r="AH4" s="119" t="s">
        <v>94</v>
      </c>
      <c r="AI4" s="591" t="s">
        <v>59</v>
      </c>
      <c r="AK4" s="844" t="s">
        <v>528</v>
      </c>
      <c r="AL4" s="844"/>
      <c r="AM4" s="844"/>
      <c r="AN4" s="844"/>
      <c r="AO4" s="844"/>
      <c r="AP4" s="953" t="s">
        <v>529</v>
      </c>
    </row>
    <row r="5" spans="1:42" s="263" customFormat="1" ht="12.75" thickBot="1">
      <c r="A5" s="761" t="s">
        <v>483</v>
      </c>
      <c r="B5" s="283"/>
      <c r="C5" s="284" t="s">
        <v>372</v>
      </c>
      <c r="D5" s="284" t="s">
        <v>368</v>
      </c>
      <c r="E5" s="284" t="s">
        <v>391</v>
      </c>
      <c r="F5" s="284" t="s">
        <v>518</v>
      </c>
      <c r="G5" s="284" t="s">
        <v>519</v>
      </c>
      <c r="H5" s="284" t="s">
        <v>369</v>
      </c>
      <c r="I5" s="284" t="s">
        <v>370</v>
      </c>
      <c r="J5" s="284" t="s">
        <v>371</v>
      </c>
      <c r="K5" s="285"/>
      <c r="AA5" s="284" t="s">
        <v>372</v>
      </c>
      <c r="AB5" s="284" t="s">
        <v>368</v>
      </c>
      <c r="AC5" s="284" t="s">
        <v>391</v>
      </c>
      <c r="AD5" s="284" t="s">
        <v>518</v>
      </c>
      <c r="AE5" s="284" t="s">
        <v>519</v>
      </c>
      <c r="AF5" s="284" t="s">
        <v>369</v>
      </c>
      <c r="AG5" s="284" t="s">
        <v>370</v>
      </c>
      <c r="AH5" s="284" t="s">
        <v>371</v>
      </c>
      <c r="AI5" s="285"/>
      <c r="AK5" s="850">
        <f>COUNTIF($AP$6:$AP$14,"Incongruenza")</f>
        <v>0</v>
      </c>
      <c r="AL5" s="845" t="s">
        <v>92</v>
      </c>
      <c r="AM5" s="845"/>
      <c r="AN5" s="846" t="s">
        <v>530</v>
      </c>
      <c r="AO5" s="846" t="s">
        <v>531</v>
      </c>
      <c r="AP5" s="954"/>
    </row>
    <row r="6" spans="1:42" ht="12.75" customHeight="1" thickBot="1" thickTop="1">
      <c r="A6" s="20" t="str">
        <f>'t1'!A6</f>
        <v>MAGIST.  CON FUNZ. DIRETT. APICALI GIUDICANTI DI LEGITTIMITÀ</v>
      </c>
      <c r="B6" s="226" t="str">
        <f>'t1'!B6</f>
        <v>0D0MT1</v>
      </c>
      <c r="C6" s="205">
        <f>ROUND(AA6,2)</f>
        <v>0</v>
      </c>
      <c r="D6" s="780">
        <f>ROUND(AB6,0)</f>
        <v>0</v>
      </c>
      <c r="E6" s="780">
        <f aca="true" t="shared" si="0" ref="E6:E14">ROUND(AC6,0)</f>
        <v>0</v>
      </c>
      <c r="F6" s="780">
        <f aca="true" t="shared" si="1" ref="F6:G14">ROUND(AD6,0)</f>
        <v>0</v>
      </c>
      <c r="G6" s="780">
        <f t="shared" si="1"/>
        <v>0</v>
      </c>
      <c r="H6" s="780">
        <f aca="true" t="shared" si="2" ref="H6:H14">ROUND(AF6,0)</f>
        <v>0</v>
      </c>
      <c r="I6" s="780">
        <f aca="true" t="shared" si="3" ref="I6:I14">ROUND(AG6,0)</f>
        <v>0</v>
      </c>
      <c r="J6" s="781">
        <f aca="true" t="shared" si="4" ref="J6:J14">ROUND(AH6,0)</f>
        <v>0</v>
      </c>
      <c r="K6" s="468">
        <f>(D6+E6+F6+G6+H6+I6)-J6</f>
        <v>0</v>
      </c>
      <c r="AA6" s="205"/>
      <c r="AB6" s="203"/>
      <c r="AC6" s="203"/>
      <c r="AD6" s="203"/>
      <c r="AE6" s="203"/>
      <c r="AF6" s="203"/>
      <c r="AG6" s="203"/>
      <c r="AH6" s="204"/>
      <c r="AI6" s="468">
        <f>(AB6+AC6+AD6+AE6+AF6+AG6)-AH6</f>
        <v>0</v>
      </c>
      <c r="AK6"/>
      <c r="AL6" s="5" t="s">
        <v>532</v>
      </c>
      <c r="AM6" s="5" t="s">
        <v>533</v>
      </c>
      <c r="AN6" s="847" t="str">
        <f>IF($AL6="no",(IF($AD6&gt;0,"Incongruenza","OK")),(IF($AD6=0,"OK","ok")))</f>
        <v>OK</v>
      </c>
      <c r="AO6" s="848" t="str">
        <f>IF($AM6="no",(IF($AE6&gt;0,"Incongruenza","OK")),(IF($AE6=0,"OK","ok")))</f>
        <v>OK</v>
      </c>
      <c r="AP6" s="849" t="str">
        <f>IF(AND($AL6="no",$AM6="no",$AE6&gt;0),"Sono stati inseriti importi RIA e/o Progressioni",IF(AND($AL6="no",$AM6="no",$AD6&gt;0)," ",IF(OR($AN6="Incongruenza",$AO6="Incongruenza"),"Incongruenza"," ")))</f>
        <v> </v>
      </c>
    </row>
    <row r="7" spans="1:42" ht="12" customHeight="1" thickBot="1">
      <c r="A7" s="148" t="str">
        <f>'t1'!A7</f>
        <v>MAGIST. CON FUNZ. DIRETT. APICALI REQUIRENTI DI LEGITTIMITÀ</v>
      </c>
      <c r="B7" s="219" t="str">
        <f>'t1'!B7</f>
        <v>0D0MT2</v>
      </c>
      <c r="C7" s="205">
        <f aca="true" t="shared" si="5" ref="C7:C14">ROUND(AA7,2)</f>
        <v>0</v>
      </c>
      <c r="D7" s="780">
        <f aca="true" t="shared" si="6" ref="D7:D14">ROUND(AB7,0)</f>
        <v>0</v>
      </c>
      <c r="E7" s="780">
        <f t="shared" si="0"/>
        <v>0</v>
      </c>
      <c r="F7" s="780">
        <f t="shared" si="1"/>
        <v>0</v>
      </c>
      <c r="G7" s="780">
        <f t="shared" si="1"/>
        <v>0</v>
      </c>
      <c r="H7" s="780">
        <f t="shared" si="2"/>
        <v>0</v>
      </c>
      <c r="I7" s="780">
        <f t="shared" si="3"/>
        <v>0</v>
      </c>
      <c r="J7" s="781">
        <f t="shared" si="4"/>
        <v>0</v>
      </c>
      <c r="K7" s="468">
        <f aca="true" t="shared" si="7" ref="K7:K14">(D7+E7+F7+G7+H7+I7)-J7</f>
        <v>0</v>
      </c>
      <c r="AA7" s="205"/>
      <c r="AB7" s="203"/>
      <c r="AC7" s="203"/>
      <c r="AD7" s="203"/>
      <c r="AE7" s="203"/>
      <c r="AF7" s="203"/>
      <c r="AG7" s="203"/>
      <c r="AH7" s="204"/>
      <c r="AI7" s="468">
        <f aca="true" t="shared" si="8" ref="AI7:AI14">(AB7+AC7+AD7+AE7+AF7+AG7)-AH7</f>
        <v>0</v>
      </c>
      <c r="AL7" s="5" t="s">
        <v>532</v>
      </c>
      <c r="AM7" s="5" t="s">
        <v>533</v>
      </c>
      <c r="AN7" s="847" t="str">
        <f aca="true" t="shared" si="9" ref="AN7:AN14">IF($AL7="no",(IF($AD7&gt;0,"Incongruenza","OK")),(IF($AD7=0,"OK","ok")))</f>
        <v>OK</v>
      </c>
      <c r="AO7" s="848" t="str">
        <f aca="true" t="shared" si="10" ref="AO7:AO14">IF($AM7="no",(IF($AE7&gt;0,"Incongruenza","OK")),(IF($AE7=0,"OK","ok")))</f>
        <v>OK</v>
      </c>
      <c r="AP7" s="849" t="str">
        <f aca="true" t="shared" si="11" ref="AP7:AP14">IF(AND($AL7="no",$AM7="no",$AE7&gt;0),"Sono stati inseriti importi RIA e/o Progressioni",IF(AND($AL7="no",$AM7="no",$AD7&gt;0)," ",IF(OR($AN7="Incongruenza",$AO7="Incongruenza"),"Incongruenza"," ")))</f>
        <v> </v>
      </c>
    </row>
    <row r="8" spans="1:42" ht="12" customHeight="1" thickBot="1">
      <c r="A8" s="148" t="str">
        <f>'t1'!A8</f>
        <v>MAGISTRATI CON FUNZIONI DIRETTIVE SUPERIORI DI LEGITTIMITÀ</v>
      </c>
      <c r="B8" s="219" t="str">
        <f>'t1'!B8</f>
        <v>0D0MT3</v>
      </c>
      <c r="C8" s="205">
        <f t="shared" si="5"/>
        <v>0</v>
      </c>
      <c r="D8" s="780">
        <f t="shared" si="6"/>
        <v>0</v>
      </c>
      <c r="E8" s="780">
        <f t="shared" si="0"/>
        <v>0</v>
      </c>
      <c r="F8" s="780">
        <f t="shared" si="1"/>
        <v>0</v>
      </c>
      <c r="G8" s="780">
        <f t="shared" si="1"/>
        <v>0</v>
      </c>
      <c r="H8" s="780">
        <f t="shared" si="2"/>
        <v>0</v>
      </c>
      <c r="I8" s="780">
        <f t="shared" si="3"/>
        <v>0</v>
      </c>
      <c r="J8" s="781">
        <f t="shared" si="4"/>
        <v>0</v>
      </c>
      <c r="K8" s="468">
        <f t="shared" si="7"/>
        <v>0</v>
      </c>
      <c r="AA8" s="205"/>
      <c r="AB8" s="203"/>
      <c r="AC8" s="203"/>
      <c r="AD8" s="203"/>
      <c r="AE8" s="203"/>
      <c r="AF8" s="203"/>
      <c r="AG8" s="203"/>
      <c r="AH8" s="204"/>
      <c r="AI8" s="468">
        <f t="shared" si="8"/>
        <v>0</v>
      </c>
      <c r="AL8" s="5" t="s">
        <v>532</v>
      </c>
      <c r="AM8" s="5" t="s">
        <v>533</v>
      </c>
      <c r="AN8" s="847" t="str">
        <f t="shared" si="9"/>
        <v>OK</v>
      </c>
      <c r="AO8" s="848" t="str">
        <f t="shared" si="10"/>
        <v>OK</v>
      </c>
      <c r="AP8" s="849" t="str">
        <f t="shared" si="11"/>
        <v> </v>
      </c>
    </row>
    <row r="9" spans="1:42" ht="12" customHeight="1" thickBot="1">
      <c r="A9" s="148" t="str">
        <f>'t1'!A9</f>
        <v>MAGISTRATI ORDINARI VII VALUT. PROF.</v>
      </c>
      <c r="B9" s="219" t="str">
        <f>'t1'!B9</f>
        <v>0D0MT4</v>
      </c>
      <c r="C9" s="205">
        <f t="shared" si="5"/>
        <v>0</v>
      </c>
      <c r="D9" s="780">
        <f t="shared" si="6"/>
        <v>0</v>
      </c>
      <c r="E9" s="780">
        <f t="shared" si="0"/>
        <v>0</v>
      </c>
      <c r="F9" s="780">
        <f t="shared" si="1"/>
        <v>0</v>
      </c>
      <c r="G9" s="780">
        <f t="shared" si="1"/>
        <v>0</v>
      </c>
      <c r="H9" s="780">
        <f t="shared" si="2"/>
        <v>0</v>
      </c>
      <c r="I9" s="780">
        <f t="shared" si="3"/>
        <v>0</v>
      </c>
      <c r="J9" s="781">
        <f t="shared" si="4"/>
        <v>0</v>
      </c>
      <c r="K9" s="468">
        <f t="shared" si="7"/>
        <v>0</v>
      </c>
      <c r="AA9" s="205"/>
      <c r="AB9" s="203"/>
      <c r="AC9" s="203"/>
      <c r="AD9" s="203"/>
      <c r="AE9" s="203"/>
      <c r="AF9" s="203"/>
      <c r="AG9" s="203"/>
      <c r="AH9" s="204"/>
      <c r="AI9" s="468">
        <f t="shared" si="8"/>
        <v>0</v>
      </c>
      <c r="AL9" s="5" t="s">
        <v>532</v>
      </c>
      <c r="AM9" s="5" t="s">
        <v>533</v>
      </c>
      <c r="AN9" s="847" t="str">
        <f t="shared" si="9"/>
        <v>OK</v>
      </c>
      <c r="AO9" s="848" t="str">
        <f t="shared" si="10"/>
        <v>OK</v>
      </c>
      <c r="AP9" s="849" t="str">
        <f t="shared" si="11"/>
        <v> </v>
      </c>
    </row>
    <row r="10" spans="1:42" ht="12" customHeight="1" thickBot="1">
      <c r="A10" s="148" t="str">
        <f>'t1'!A10</f>
        <v>MAGISTRATI ORDINARI V VALUT. PROF.</v>
      </c>
      <c r="B10" s="219" t="str">
        <f>'t1'!B10</f>
        <v>0D0MT5</v>
      </c>
      <c r="C10" s="205">
        <f t="shared" si="5"/>
        <v>0</v>
      </c>
      <c r="D10" s="780">
        <f t="shared" si="6"/>
        <v>0</v>
      </c>
      <c r="E10" s="780">
        <f t="shared" si="0"/>
        <v>0</v>
      </c>
      <c r="F10" s="780">
        <f t="shared" si="1"/>
        <v>0</v>
      </c>
      <c r="G10" s="780">
        <f t="shared" si="1"/>
        <v>0</v>
      </c>
      <c r="H10" s="780">
        <f t="shared" si="2"/>
        <v>0</v>
      </c>
      <c r="I10" s="780">
        <f t="shared" si="3"/>
        <v>0</v>
      </c>
      <c r="J10" s="781">
        <f t="shared" si="4"/>
        <v>0</v>
      </c>
      <c r="K10" s="468">
        <f t="shared" si="7"/>
        <v>0</v>
      </c>
      <c r="AA10" s="205"/>
      <c r="AB10" s="203"/>
      <c r="AC10" s="203"/>
      <c r="AD10" s="203"/>
      <c r="AE10" s="203"/>
      <c r="AF10" s="203"/>
      <c r="AG10" s="203"/>
      <c r="AH10" s="204"/>
      <c r="AI10" s="468">
        <f t="shared" si="8"/>
        <v>0</v>
      </c>
      <c r="AL10" s="5" t="s">
        <v>532</v>
      </c>
      <c r="AM10" s="5" t="s">
        <v>533</v>
      </c>
      <c r="AN10" s="847" t="str">
        <f t="shared" si="9"/>
        <v>OK</v>
      </c>
      <c r="AO10" s="848" t="str">
        <f t="shared" si="10"/>
        <v>OK</v>
      </c>
      <c r="AP10" s="849" t="str">
        <f t="shared" si="11"/>
        <v> </v>
      </c>
    </row>
    <row r="11" spans="1:42" ht="12" customHeight="1" thickBot="1">
      <c r="A11" s="148" t="str">
        <f>'t1'!A11</f>
        <v>MAGISTRATI ORDINARI DOPO 1 ANNO DALLA III VALUT. PROF.</v>
      </c>
      <c r="B11" s="219" t="str">
        <f>'t1'!B11</f>
        <v>0D0MT6</v>
      </c>
      <c r="C11" s="205">
        <f t="shared" si="5"/>
        <v>0</v>
      </c>
      <c r="D11" s="780">
        <f t="shared" si="6"/>
        <v>0</v>
      </c>
      <c r="E11" s="780">
        <f t="shared" si="0"/>
        <v>0</v>
      </c>
      <c r="F11" s="780">
        <f t="shared" si="1"/>
        <v>0</v>
      </c>
      <c r="G11" s="780">
        <f t="shared" si="1"/>
        <v>0</v>
      </c>
      <c r="H11" s="780">
        <f t="shared" si="2"/>
        <v>0</v>
      </c>
      <c r="I11" s="780">
        <f t="shared" si="3"/>
        <v>0</v>
      </c>
      <c r="J11" s="781">
        <f t="shared" si="4"/>
        <v>0</v>
      </c>
      <c r="K11" s="468">
        <f t="shared" si="7"/>
        <v>0</v>
      </c>
      <c r="AA11" s="205"/>
      <c r="AB11" s="203"/>
      <c r="AC11" s="203"/>
      <c r="AD11" s="203"/>
      <c r="AE11" s="203"/>
      <c r="AF11" s="203"/>
      <c r="AG11" s="203"/>
      <c r="AH11" s="204"/>
      <c r="AI11" s="468">
        <f t="shared" si="8"/>
        <v>0</v>
      </c>
      <c r="AL11" s="5" t="s">
        <v>532</v>
      </c>
      <c r="AM11" s="5" t="s">
        <v>533</v>
      </c>
      <c r="AN11" s="847" t="str">
        <f t="shared" si="9"/>
        <v>OK</v>
      </c>
      <c r="AO11" s="848" t="str">
        <f t="shared" si="10"/>
        <v>OK</v>
      </c>
      <c r="AP11" s="849" t="str">
        <f t="shared" si="11"/>
        <v> </v>
      </c>
    </row>
    <row r="12" spans="1:42" ht="12" customHeight="1" thickBot="1">
      <c r="A12" s="148" t="str">
        <f>'t1'!A12</f>
        <v>MAGISTRATI ORDINARI  I  VALUT. PROF.</v>
      </c>
      <c r="B12" s="219" t="str">
        <f>'t1'!B12</f>
        <v>0D0MT7</v>
      </c>
      <c r="C12" s="205">
        <f t="shared" si="5"/>
        <v>0</v>
      </c>
      <c r="D12" s="780">
        <f t="shared" si="6"/>
        <v>0</v>
      </c>
      <c r="E12" s="780">
        <f t="shared" si="0"/>
        <v>0</v>
      </c>
      <c r="F12" s="780">
        <f t="shared" si="1"/>
        <v>0</v>
      </c>
      <c r="G12" s="780">
        <f t="shared" si="1"/>
        <v>0</v>
      </c>
      <c r="H12" s="780">
        <f t="shared" si="2"/>
        <v>0</v>
      </c>
      <c r="I12" s="780">
        <f t="shared" si="3"/>
        <v>0</v>
      </c>
      <c r="J12" s="781">
        <f t="shared" si="4"/>
        <v>0</v>
      </c>
      <c r="K12" s="468">
        <f t="shared" si="7"/>
        <v>0</v>
      </c>
      <c r="AA12" s="205"/>
      <c r="AB12" s="203"/>
      <c r="AC12" s="203"/>
      <c r="AD12" s="203"/>
      <c r="AE12" s="203"/>
      <c r="AF12" s="203"/>
      <c r="AG12" s="203"/>
      <c r="AH12" s="204"/>
      <c r="AI12" s="468">
        <f t="shared" si="8"/>
        <v>0</v>
      </c>
      <c r="AL12" s="5" t="s">
        <v>532</v>
      </c>
      <c r="AM12" s="5" t="s">
        <v>533</v>
      </c>
      <c r="AN12" s="847" t="str">
        <f t="shared" si="9"/>
        <v>OK</v>
      </c>
      <c r="AO12" s="848" t="str">
        <f t="shared" si="10"/>
        <v>OK</v>
      </c>
      <c r="AP12" s="849" t="str">
        <f t="shared" si="11"/>
        <v> </v>
      </c>
    </row>
    <row r="13" spans="1:42" ht="12" customHeight="1" thickBot="1">
      <c r="A13" s="148" t="str">
        <f>'t1'!A13</f>
        <v>MAGISTRATI ORDINARI</v>
      </c>
      <c r="B13" s="219" t="str">
        <f>'t1'!B13</f>
        <v>0D0MT8</v>
      </c>
      <c r="C13" s="205">
        <f t="shared" si="5"/>
        <v>0</v>
      </c>
      <c r="D13" s="780">
        <f t="shared" si="6"/>
        <v>0</v>
      </c>
      <c r="E13" s="780">
        <f t="shared" si="0"/>
        <v>0</v>
      </c>
      <c r="F13" s="780">
        <f t="shared" si="1"/>
        <v>0</v>
      </c>
      <c r="G13" s="780">
        <f t="shared" si="1"/>
        <v>0</v>
      </c>
      <c r="H13" s="780">
        <f t="shared" si="2"/>
        <v>0</v>
      </c>
      <c r="I13" s="780">
        <f t="shared" si="3"/>
        <v>0</v>
      </c>
      <c r="J13" s="781">
        <f t="shared" si="4"/>
        <v>0</v>
      </c>
      <c r="K13" s="468">
        <f t="shared" si="7"/>
        <v>0</v>
      </c>
      <c r="AA13" s="205"/>
      <c r="AB13" s="203"/>
      <c r="AC13" s="203"/>
      <c r="AD13" s="203"/>
      <c r="AE13" s="203"/>
      <c r="AF13" s="203"/>
      <c r="AG13" s="203"/>
      <c r="AH13" s="204"/>
      <c r="AI13" s="468">
        <f t="shared" si="8"/>
        <v>0</v>
      </c>
      <c r="AL13" s="5" t="s">
        <v>532</v>
      </c>
      <c r="AM13" s="5" t="s">
        <v>533</v>
      </c>
      <c r="AN13" s="847" t="str">
        <f t="shared" si="9"/>
        <v>OK</v>
      </c>
      <c r="AO13" s="848" t="str">
        <f t="shared" si="10"/>
        <v>OK</v>
      </c>
      <c r="AP13" s="849" t="str">
        <f t="shared" si="11"/>
        <v> </v>
      </c>
    </row>
    <row r="14" spans="1:42" ht="12" customHeight="1" thickBot="1">
      <c r="A14" s="148" t="str">
        <f>'t1'!A14</f>
        <v>MAGISTRATI ORDINARI IN TIROCINIO</v>
      </c>
      <c r="B14" s="219" t="str">
        <f>'t1'!B14</f>
        <v>0D0MT9</v>
      </c>
      <c r="C14" s="205">
        <f t="shared" si="5"/>
        <v>0</v>
      </c>
      <c r="D14" s="780">
        <f t="shared" si="6"/>
        <v>0</v>
      </c>
      <c r="E14" s="780">
        <f t="shared" si="0"/>
        <v>0</v>
      </c>
      <c r="F14" s="780">
        <f t="shared" si="1"/>
        <v>0</v>
      </c>
      <c r="G14" s="780">
        <f t="shared" si="1"/>
        <v>0</v>
      </c>
      <c r="H14" s="780">
        <f t="shared" si="2"/>
        <v>0</v>
      </c>
      <c r="I14" s="780">
        <f t="shared" si="3"/>
        <v>0</v>
      </c>
      <c r="J14" s="781">
        <f t="shared" si="4"/>
        <v>0</v>
      </c>
      <c r="K14" s="468">
        <f t="shared" si="7"/>
        <v>0</v>
      </c>
      <c r="AA14" s="205"/>
      <c r="AB14" s="203"/>
      <c r="AC14" s="203"/>
      <c r="AD14" s="203"/>
      <c r="AE14" s="203"/>
      <c r="AF14" s="203"/>
      <c r="AG14" s="203"/>
      <c r="AH14" s="204"/>
      <c r="AI14" s="468">
        <f t="shared" si="8"/>
        <v>0</v>
      </c>
      <c r="AL14" s="5" t="s">
        <v>532</v>
      </c>
      <c r="AM14" s="5" t="s">
        <v>533</v>
      </c>
      <c r="AN14" s="847" t="str">
        <f t="shared" si="9"/>
        <v>OK</v>
      </c>
      <c r="AO14" s="848" t="str">
        <f t="shared" si="10"/>
        <v>OK</v>
      </c>
      <c r="AP14" s="849" t="str">
        <f t="shared" si="11"/>
        <v> </v>
      </c>
    </row>
    <row r="15" spans="1:35" ht="12" customHeight="1" thickBot="1" thickTop="1">
      <c r="A15" s="115" t="s">
        <v>59</v>
      </c>
      <c r="B15" s="116"/>
      <c r="C15" s="494">
        <f aca="true" t="shared" si="12" ref="C15:J15">SUM(C6:C14)</f>
        <v>0</v>
      </c>
      <c r="D15" s="466">
        <f t="shared" si="12"/>
        <v>0</v>
      </c>
      <c r="E15" s="466">
        <f t="shared" si="12"/>
        <v>0</v>
      </c>
      <c r="F15" s="466">
        <f t="shared" si="12"/>
        <v>0</v>
      </c>
      <c r="G15" s="466">
        <f>SUM(G6:G14)</f>
        <v>0</v>
      </c>
      <c r="H15" s="466">
        <f t="shared" si="12"/>
        <v>0</v>
      </c>
      <c r="I15" s="466">
        <f t="shared" si="12"/>
        <v>0</v>
      </c>
      <c r="J15" s="466">
        <f t="shared" si="12"/>
        <v>0</v>
      </c>
      <c r="K15" s="467">
        <f>(D15+E15+F15+G15+H15+I15)-J15</f>
        <v>0</v>
      </c>
      <c r="AA15" s="494">
        <f aca="true" t="shared" si="13" ref="AA15:AH15">SUM(AA6:AA14)</f>
        <v>0</v>
      </c>
      <c r="AB15" s="466">
        <f t="shared" si="13"/>
        <v>0</v>
      </c>
      <c r="AC15" s="466">
        <f t="shared" si="13"/>
        <v>0</v>
      </c>
      <c r="AD15" s="466">
        <f t="shared" si="13"/>
        <v>0</v>
      </c>
      <c r="AE15" s="466">
        <f t="shared" si="13"/>
        <v>0</v>
      </c>
      <c r="AF15" s="466">
        <f t="shared" si="13"/>
        <v>0</v>
      </c>
      <c r="AG15" s="466">
        <f t="shared" si="13"/>
        <v>0</v>
      </c>
      <c r="AH15" s="466">
        <f t="shared" si="13"/>
        <v>0</v>
      </c>
      <c r="AI15" s="467">
        <f>(AB15+AC15+AD15+AE15+AF15+AG15)-AH15</f>
        <v>0</v>
      </c>
    </row>
    <row r="16" spans="1:35" s="41" customFormat="1" ht="11.25">
      <c r="A16" s="21"/>
      <c r="B16" s="7"/>
      <c r="C16" s="5"/>
      <c r="D16" s="5"/>
      <c r="E16" s="5"/>
      <c r="F16" s="5"/>
      <c r="G16" s="5"/>
      <c r="H16" s="5"/>
      <c r="I16" s="5"/>
      <c r="J16" s="5"/>
      <c r="K16" s="5"/>
      <c r="AA16" s="5"/>
      <c r="AB16" s="5"/>
      <c r="AC16" s="5"/>
      <c r="AD16" s="5"/>
      <c r="AE16" s="5"/>
      <c r="AF16" s="5"/>
      <c r="AG16" s="5"/>
      <c r="AH16" s="5"/>
      <c r="AI16" s="5"/>
    </row>
    <row r="17" ht="11.25">
      <c r="A17" s="21"/>
    </row>
    <row r="18" ht="11.25">
      <c r="A18" s="5" t="s">
        <v>162</v>
      </c>
    </row>
    <row r="19" ht="11.25">
      <c r="A19" s="5" t="s">
        <v>163</v>
      </c>
    </row>
  </sheetData>
  <sheetProtection password="EA98" sheet="1" formatColumns="0" selectLockedCells="1"/>
  <mergeCells count="4">
    <mergeCell ref="I2:K2"/>
    <mergeCell ref="AG2:AI2"/>
    <mergeCell ref="A1:AI1"/>
    <mergeCell ref="AP4:AP5"/>
  </mergeCells>
  <dataValidations count="2">
    <dataValidation type="decimal" allowBlank="1" showInputMessage="1" showErrorMessage="1" sqref="AA6:AA14 C6:C14">
      <formula1>0</formula1>
      <formula2>99999999</formula2>
    </dataValidation>
    <dataValidation type="whole" allowBlank="1" showInputMessage="1" showErrorMessage="1" errorTitle="ERRORE NEL DATO IMMESSO" error="INSERIRE SOLO NUMERI INTERI" sqref="AB6:AH14">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Q21"/>
  <sheetViews>
    <sheetView showGridLines="0" zoomScalePageLayoutView="0" workbookViewId="0" topLeftCell="A1">
      <pane xSplit="2" ySplit="5" topLeftCell="T6" activePane="bottomRight" state="frozen"/>
      <selection pane="topLeft" activeCell="A2" sqref="A2"/>
      <selection pane="topRight" activeCell="A2" sqref="A2"/>
      <selection pane="bottomLeft" activeCell="A2" sqref="A2"/>
      <selection pane="bottomRight" activeCell="AF6" sqref="AF6"/>
    </sheetView>
  </sheetViews>
  <sheetFormatPr defaultColWidth="9.33203125" defaultRowHeight="10.5"/>
  <cols>
    <col min="1" max="1" width="60.5" style="5" customWidth="1"/>
    <col min="2" max="2" width="8.66015625" style="7" customWidth="1"/>
    <col min="3" max="7" width="14.5" style="5" hidden="1" customWidth="1"/>
    <col min="8" max="8" width="16.33203125" style="5" hidden="1" customWidth="1"/>
    <col min="9" max="12" width="14.5" style="5" hidden="1" customWidth="1"/>
    <col min="13" max="31" width="9.33203125" style="5" hidden="1" customWidth="1"/>
    <col min="32" max="36" width="14.5" style="5" customWidth="1"/>
    <col min="37" max="37" width="16.33203125" style="5" customWidth="1"/>
    <col min="38" max="41" width="14.5" style="5" customWidth="1"/>
    <col min="42" max="16384" width="9.33203125" style="5" customWidth="1"/>
  </cols>
  <sheetData>
    <row r="1" spans="1:12" ht="36" customHeight="1">
      <c r="A1" s="793" t="str">
        <f>'t1'!A1</f>
        <v>MAGISTRATURA ORDINARIA - anno 2019</v>
      </c>
      <c r="B1" s="793"/>
      <c r="C1" s="793"/>
      <c r="D1" s="793"/>
      <c r="E1" s="793"/>
      <c r="F1" s="793"/>
      <c r="G1" s="793"/>
      <c r="H1" s="793"/>
      <c r="I1" s="793"/>
      <c r="J1" s="793"/>
      <c r="K1" s="793"/>
      <c r="L1" s="793"/>
    </row>
    <row r="2" spans="1:41" ht="27" customHeight="1" thickBot="1">
      <c r="A2" s="6"/>
      <c r="G2" s="103"/>
      <c r="H2" s="103"/>
      <c r="I2" s="103"/>
      <c r="J2" s="103"/>
      <c r="K2" s="103"/>
      <c r="L2" s="474"/>
      <c r="AJ2" s="103"/>
      <c r="AK2" s="103"/>
      <c r="AL2" s="103"/>
      <c r="AM2" s="103"/>
      <c r="AN2" s="103"/>
      <c r="AO2" s="474"/>
    </row>
    <row r="3" spans="1:41" ht="13.5" thickBot="1">
      <c r="A3" s="10"/>
      <c r="B3" s="11"/>
      <c r="C3" s="306" t="s">
        <v>231</v>
      </c>
      <c r="D3" s="14"/>
      <c r="E3" s="14"/>
      <c r="F3" s="14"/>
      <c r="G3" s="97"/>
      <c r="H3" s="97"/>
      <c r="I3" s="97"/>
      <c r="J3" s="97"/>
      <c r="K3" s="97"/>
      <c r="L3" s="101"/>
      <c r="AF3" s="306" t="s">
        <v>231</v>
      </c>
      <c r="AG3" s="14"/>
      <c r="AH3" s="14"/>
      <c r="AI3" s="14"/>
      <c r="AJ3" s="97"/>
      <c r="AK3" s="97"/>
      <c r="AL3" s="97"/>
      <c r="AM3" s="97"/>
      <c r="AN3" s="97"/>
      <c r="AO3" s="101"/>
    </row>
    <row r="4" spans="1:41" ht="48" customHeight="1" thickTop="1">
      <c r="A4" s="763" t="s">
        <v>123</v>
      </c>
      <c r="B4" s="764" t="s">
        <v>56</v>
      </c>
      <c r="C4" s="475" t="s">
        <v>412</v>
      </c>
      <c r="D4" s="475" t="s">
        <v>414</v>
      </c>
      <c r="E4" s="646" t="s">
        <v>488</v>
      </c>
      <c r="F4" s="475" t="s">
        <v>422</v>
      </c>
      <c r="G4" s="475" t="s">
        <v>416</v>
      </c>
      <c r="H4" s="646" t="s">
        <v>423</v>
      </c>
      <c r="I4" s="580" t="s">
        <v>274</v>
      </c>
      <c r="J4" s="476" t="s">
        <v>311</v>
      </c>
      <c r="K4" s="581" t="s">
        <v>275</v>
      </c>
      <c r="L4" s="112" t="s">
        <v>134</v>
      </c>
      <c r="AF4" s="475" t="s">
        <v>412</v>
      </c>
      <c r="AG4" s="475" t="s">
        <v>414</v>
      </c>
      <c r="AH4" s="646" t="s">
        <v>488</v>
      </c>
      <c r="AI4" s="475" t="s">
        <v>422</v>
      </c>
      <c r="AJ4" s="475" t="s">
        <v>416</v>
      </c>
      <c r="AK4" s="646" t="s">
        <v>423</v>
      </c>
      <c r="AL4" s="580" t="s">
        <v>274</v>
      </c>
      <c r="AM4" s="476" t="s">
        <v>311</v>
      </c>
      <c r="AN4" s="581" t="s">
        <v>275</v>
      </c>
      <c r="AO4" s="112" t="s">
        <v>134</v>
      </c>
    </row>
    <row r="5" spans="1:41" ht="14.25" customHeight="1" thickBot="1">
      <c r="A5" s="762" t="s">
        <v>483</v>
      </c>
      <c r="B5" s="113"/>
      <c r="C5" s="477" t="s">
        <v>413</v>
      </c>
      <c r="D5" s="477" t="s">
        <v>415</v>
      </c>
      <c r="E5" s="477" t="s">
        <v>487</v>
      </c>
      <c r="F5" s="477" t="s">
        <v>424</v>
      </c>
      <c r="G5" s="477" t="s">
        <v>417</v>
      </c>
      <c r="H5" s="477" t="s">
        <v>425</v>
      </c>
      <c r="I5" s="478" t="s">
        <v>254</v>
      </c>
      <c r="J5" s="478" t="s">
        <v>255</v>
      </c>
      <c r="K5" s="478" t="s">
        <v>256</v>
      </c>
      <c r="L5" s="114" t="s">
        <v>92</v>
      </c>
      <c r="AF5" s="477" t="s">
        <v>413</v>
      </c>
      <c r="AG5" s="477" t="s">
        <v>415</v>
      </c>
      <c r="AH5" s="477" t="s">
        <v>509</v>
      </c>
      <c r="AI5" s="477" t="s">
        <v>424</v>
      </c>
      <c r="AJ5" s="477" t="s">
        <v>417</v>
      </c>
      <c r="AK5" s="477" t="s">
        <v>425</v>
      </c>
      <c r="AL5" s="478" t="s">
        <v>254</v>
      </c>
      <c r="AM5" s="478" t="s">
        <v>255</v>
      </c>
      <c r="AN5" s="478" t="s">
        <v>256</v>
      </c>
      <c r="AO5" s="114" t="s">
        <v>92</v>
      </c>
    </row>
    <row r="6" spans="1:41" ht="12.75" customHeight="1" thickTop="1">
      <c r="A6" s="20" t="str">
        <f>'t1'!A6</f>
        <v>MAGIST.  CON FUNZ. DIRETT. APICALI GIUDICANTI DI LEGITTIMITÀ</v>
      </c>
      <c r="B6" s="226" t="str">
        <f>'t1'!B6</f>
        <v>0D0MT1</v>
      </c>
      <c r="C6" s="791">
        <f>ROUND(AF6,0)</f>
        <v>0</v>
      </c>
      <c r="D6" s="791">
        <f aca="true" t="shared" si="0" ref="D6:E14">ROUND(AG6,0)</f>
        <v>0</v>
      </c>
      <c r="E6" s="791">
        <f t="shared" si="0"/>
        <v>0</v>
      </c>
      <c r="F6" s="780">
        <f aca="true" t="shared" si="1" ref="F6:F14">ROUND(AI6,0)</f>
        <v>0</v>
      </c>
      <c r="G6" s="792">
        <f aca="true" t="shared" si="2" ref="G6:G14">ROUND(AJ6,0)</f>
        <v>0</v>
      </c>
      <c r="H6" s="792">
        <f aca="true" t="shared" si="3" ref="H6:H14">ROUND(AK6,0)</f>
        <v>0</v>
      </c>
      <c r="I6" s="792">
        <f aca="true" t="shared" si="4" ref="I6:I14">ROUND(AL6,0)</f>
        <v>0</v>
      </c>
      <c r="J6" s="792">
        <f aca="true" t="shared" si="5" ref="J6:J14">ROUND(AM6,0)</f>
        <v>0</v>
      </c>
      <c r="K6" s="792">
        <f aca="true" t="shared" si="6" ref="K6:K14">ROUND(AN6,0)</f>
        <v>0</v>
      </c>
      <c r="L6" s="470">
        <f aca="true" t="shared" si="7" ref="L6:L14">SUM(C6:K6)</f>
        <v>0</v>
      </c>
      <c r="AF6" s="206"/>
      <c r="AG6" s="206"/>
      <c r="AH6" s="203"/>
      <c r="AI6" s="203"/>
      <c r="AJ6" s="207"/>
      <c r="AK6" s="207"/>
      <c r="AL6" s="207"/>
      <c r="AM6" s="207"/>
      <c r="AN6" s="207"/>
      <c r="AO6" s="470">
        <f aca="true" t="shared" si="8" ref="AO6:AO14">SUM(AF6:AN6)</f>
        <v>0</v>
      </c>
    </row>
    <row r="7" spans="1:41" ht="12.75" customHeight="1">
      <c r="A7" s="148" t="str">
        <f>'t1'!A7</f>
        <v>MAGIST. CON FUNZ. DIRETT. APICALI REQUIRENTI DI LEGITTIMITÀ</v>
      </c>
      <c r="B7" s="219" t="str">
        <f>'t1'!B7</f>
        <v>0D0MT2</v>
      </c>
      <c r="C7" s="791">
        <f aca="true" t="shared" si="9" ref="C7:C14">ROUND(AF7,0)</f>
        <v>0</v>
      </c>
      <c r="D7" s="791">
        <f t="shared" si="0"/>
        <v>0</v>
      </c>
      <c r="E7" s="791">
        <f t="shared" si="0"/>
        <v>0</v>
      </c>
      <c r="F7" s="780">
        <f t="shared" si="1"/>
        <v>0</v>
      </c>
      <c r="G7" s="792">
        <f t="shared" si="2"/>
        <v>0</v>
      </c>
      <c r="H7" s="792">
        <f t="shared" si="3"/>
        <v>0</v>
      </c>
      <c r="I7" s="792">
        <f t="shared" si="4"/>
        <v>0</v>
      </c>
      <c r="J7" s="792">
        <f t="shared" si="5"/>
        <v>0</v>
      </c>
      <c r="K7" s="792">
        <f t="shared" si="6"/>
        <v>0</v>
      </c>
      <c r="L7" s="470">
        <f t="shared" si="7"/>
        <v>0</v>
      </c>
      <c r="AF7" s="206"/>
      <c r="AG7" s="206"/>
      <c r="AH7" s="203"/>
      <c r="AI7" s="203"/>
      <c r="AJ7" s="207"/>
      <c r="AK7" s="207"/>
      <c r="AL7" s="207"/>
      <c r="AM7" s="207"/>
      <c r="AN7" s="207"/>
      <c r="AO7" s="470">
        <f t="shared" si="8"/>
        <v>0</v>
      </c>
    </row>
    <row r="8" spans="1:41" ht="12.75" customHeight="1">
      <c r="A8" s="148" t="str">
        <f>'t1'!A8</f>
        <v>MAGISTRATI CON FUNZIONI DIRETTIVE SUPERIORI DI LEGITTIMITÀ</v>
      </c>
      <c r="B8" s="219" t="str">
        <f>'t1'!B8</f>
        <v>0D0MT3</v>
      </c>
      <c r="C8" s="791">
        <f t="shared" si="9"/>
        <v>0</v>
      </c>
      <c r="D8" s="791">
        <f t="shared" si="0"/>
        <v>0</v>
      </c>
      <c r="E8" s="791">
        <f t="shared" si="0"/>
        <v>0</v>
      </c>
      <c r="F8" s="780">
        <f t="shared" si="1"/>
        <v>0</v>
      </c>
      <c r="G8" s="792">
        <f t="shared" si="2"/>
        <v>0</v>
      </c>
      <c r="H8" s="792">
        <f t="shared" si="3"/>
        <v>0</v>
      </c>
      <c r="I8" s="792">
        <f t="shared" si="4"/>
        <v>0</v>
      </c>
      <c r="J8" s="792">
        <f t="shared" si="5"/>
        <v>0</v>
      </c>
      <c r="K8" s="792">
        <f t="shared" si="6"/>
        <v>0</v>
      </c>
      <c r="L8" s="470">
        <f t="shared" si="7"/>
        <v>0</v>
      </c>
      <c r="AF8" s="206"/>
      <c r="AG8" s="206"/>
      <c r="AH8" s="203"/>
      <c r="AI8" s="203"/>
      <c r="AJ8" s="207"/>
      <c r="AK8" s="207"/>
      <c r="AL8" s="207"/>
      <c r="AM8" s="207"/>
      <c r="AN8" s="207"/>
      <c r="AO8" s="470">
        <f t="shared" si="8"/>
        <v>0</v>
      </c>
    </row>
    <row r="9" spans="1:41" ht="12.75" customHeight="1">
      <c r="A9" s="148" t="str">
        <f>'t1'!A9</f>
        <v>MAGISTRATI ORDINARI VII VALUT. PROF.</v>
      </c>
      <c r="B9" s="219" t="str">
        <f>'t1'!B9</f>
        <v>0D0MT4</v>
      </c>
      <c r="C9" s="791">
        <f t="shared" si="9"/>
        <v>0</v>
      </c>
      <c r="D9" s="791">
        <f t="shared" si="0"/>
        <v>0</v>
      </c>
      <c r="E9" s="791">
        <f t="shared" si="0"/>
        <v>0</v>
      </c>
      <c r="F9" s="780">
        <f t="shared" si="1"/>
        <v>0</v>
      </c>
      <c r="G9" s="792">
        <f t="shared" si="2"/>
        <v>0</v>
      </c>
      <c r="H9" s="792">
        <f t="shared" si="3"/>
        <v>0</v>
      </c>
      <c r="I9" s="792">
        <f t="shared" si="4"/>
        <v>0</v>
      </c>
      <c r="J9" s="792">
        <f t="shared" si="5"/>
        <v>0</v>
      </c>
      <c r="K9" s="792">
        <f t="shared" si="6"/>
        <v>0</v>
      </c>
      <c r="L9" s="470">
        <f t="shared" si="7"/>
        <v>0</v>
      </c>
      <c r="AF9" s="206"/>
      <c r="AG9" s="206"/>
      <c r="AH9" s="203"/>
      <c r="AI9" s="203"/>
      <c r="AJ9" s="207"/>
      <c r="AK9" s="207"/>
      <c r="AL9" s="207"/>
      <c r="AM9" s="207"/>
      <c r="AN9" s="207"/>
      <c r="AO9" s="470">
        <f t="shared" si="8"/>
        <v>0</v>
      </c>
    </row>
    <row r="10" spans="1:41" ht="12.75" customHeight="1">
      <c r="A10" s="148" t="str">
        <f>'t1'!A10</f>
        <v>MAGISTRATI ORDINARI V VALUT. PROF.</v>
      </c>
      <c r="B10" s="219" t="str">
        <f>'t1'!B10</f>
        <v>0D0MT5</v>
      </c>
      <c r="C10" s="791">
        <f t="shared" si="9"/>
        <v>0</v>
      </c>
      <c r="D10" s="791">
        <f t="shared" si="0"/>
        <v>0</v>
      </c>
      <c r="E10" s="791">
        <f t="shared" si="0"/>
        <v>0</v>
      </c>
      <c r="F10" s="780">
        <f t="shared" si="1"/>
        <v>0</v>
      </c>
      <c r="G10" s="792">
        <f t="shared" si="2"/>
        <v>0</v>
      </c>
      <c r="H10" s="792">
        <f t="shared" si="3"/>
        <v>0</v>
      </c>
      <c r="I10" s="792">
        <f t="shared" si="4"/>
        <v>0</v>
      </c>
      <c r="J10" s="792">
        <f t="shared" si="5"/>
        <v>0</v>
      </c>
      <c r="K10" s="792">
        <f t="shared" si="6"/>
        <v>0</v>
      </c>
      <c r="L10" s="470">
        <f t="shared" si="7"/>
        <v>0</v>
      </c>
      <c r="AF10" s="206"/>
      <c r="AG10" s="206"/>
      <c r="AH10" s="203"/>
      <c r="AI10" s="203"/>
      <c r="AJ10" s="207"/>
      <c r="AK10" s="207"/>
      <c r="AL10" s="207"/>
      <c r="AM10" s="207"/>
      <c r="AN10" s="207"/>
      <c r="AO10" s="470">
        <f t="shared" si="8"/>
        <v>0</v>
      </c>
    </row>
    <row r="11" spans="1:41" ht="12.75" customHeight="1">
      <c r="A11" s="148" t="str">
        <f>'t1'!A11</f>
        <v>MAGISTRATI ORDINARI DOPO 1 ANNO DALLA III VALUT. PROF.</v>
      </c>
      <c r="B11" s="219" t="str">
        <f>'t1'!B11</f>
        <v>0D0MT6</v>
      </c>
      <c r="C11" s="791">
        <f t="shared" si="9"/>
        <v>0</v>
      </c>
      <c r="D11" s="791">
        <f t="shared" si="0"/>
        <v>0</v>
      </c>
      <c r="E11" s="791">
        <f t="shared" si="0"/>
        <v>0</v>
      </c>
      <c r="F11" s="780">
        <f t="shared" si="1"/>
        <v>0</v>
      </c>
      <c r="G11" s="792">
        <f t="shared" si="2"/>
        <v>0</v>
      </c>
      <c r="H11" s="792">
        <f t="shared" si="3"/>
        <v>0</v>
      </c>
      <c r="I11" s="792">
        <f t="shared" si="4"/>
        <v>0</v>
      </c>
      <c r="J11" s="792">
        <f t="shared" si="5"/>
        <v>0</v>
      </c>
      <c r="K11" s="792">
        <f t="shared" si="6"/>
        <v>0</v>
      </c>
      <c r="L11" s="470">
        <f t="shared" si="7"/>
        <v>0</v>
      </c>
      <c r="AF11" s="206"/>
      <c r="AG11" s="206"/>
      <c r="AH11" s="203"/>
      <c r="AI11" s="203"/>
      <c r="AJ11" s="207"/>
      <c r="AK11" s="207"/>
      <c r="AL11" s="207"/>
      <c r="AM11" s="207"/>
      <c r="AN11" s="207"/>
      <c r="AO11" s="470">
        <f t="shared" si="8"/>
        <v>0</v>
      </c>
    </row>
    <row r="12" spans="1:41" ht="12.75" customHeight="1">
      <c r="A12" s="148" t="str">
        <f>'t1'!A12</f>
        <v>MAGISTRATI ORDINARI  I  VALUT. PROF.</v>
      </c>
      <c r="B12" s="219" t="str">
        <f>'t1'!B12</f>
        <v>0D0MT7</v>
      </c>
      <c r="C12" s="791">
        <f t="shared" si="9"/>
        <v>0</v>
      </c>
      <c r="D12" s="791">
        <f t="shared" si="0"/>
        <v>0</v>
      </c>
      <c r="E12" s="791">
        <f t="shared" si="0"/>
        <v>0</v>
      </c>
      <c r="F12" s="780">
        <f t="shared" si="1"/>
        <v>0</v>
      </c>
      <c r="G12" s="792">
        <f t="shared" si="2"/>
        <v>0</v>
      </c>
      <c r="H12" s="792">
        <f t="shared" si="3"/>
        <v>0</v>
      </c>
      <c r="I12" s="792">
        <f t="shared" si="4"/>
        <v>0</v>
      </c>
      <c r="J12" s="792">
        <f t="shared" si="5"/>
        <v>0</v>
      </c>
      <c r="K12" s="792">
        <f t="shared" si="6"/>
        <v>0</v>
      </c>
      <c r="L12" s="470">
        <f t="shared" si="7"/>
        <v>0</v>
      </c>
      <c r="AF12" s="206"/>
      <c r="AG12" s="206"/>
      <c r="AH12" s="203"/>
      <c r="AI12" s="203"/>
      <c r="AJ12" s="207"/>
      <c r="AK12" s="207"/>
      <c r="AL12" s="207"/>
      <c r="AM12" s="207"/>
      <c r="AN12" s="207"/>
      <c r="AO12" s="470">
        <f t="shared" si="8"/>
        <v>0</v>
      </c>
    </row>
    <row r="13" spans="1:41" ht="12.75" customHeight="1">
      <c r="A13" s="148" t="str">
        <f>'t1'!A13</f>
        <v>MAGISTRATI ORDINARI</v>
      </c>
      <c r="B13" s="219" t="str">
        <f>'t1'!B13</f>
        <v>0D0MT8</v>
      </c>
      <c r="C13" s="791">
        <f t="shared" si="9"/>
        <v>0</v>
      </c>
      <c r="D13" s="791">
        <f t="shared" si="0"/>
        <v>0</v>
      </c>
      <c r="E13" s="791">
        <f t="shared" si="0"/>
        <v>0</v>
      </c>
      <c r="F13" s="780">
        <f t="shared" si="1"/>
        <v>0</v>
      </c>
      <c r="G13" s="792">
        <f t="shared" si="2"/>
        <v>0</v>
      </c>
      <c r="H13" s="792">
        <f t="shared" si="3"/>
        <v>0</v>
      </c>
      <c r="I13" s="792">
        <f t="shared" si="4"/>
        <v>0</v>
      </c>
      <c r="J13" s="792">
        <f t="shared" si="5"/>
        <v>0</v>
      </c>
      <c r="K13" s="792">
        <f t="shared" si="6"/>
        <v>0</v>
      </c>
      <c r="L13" s="470">
        <f t="shared" si="7"/>
        <v>0</v>
      </c>
      <c r="AF13" s="206"/>
      <c r="AG13" s="206"/>
      <c r="AH13" s="203"/>
      <c r="AI13" s="203"/>
      <c r="AJ13" s="207"/>
      <c r="AK13" s="207"/>
      <c r="AL13" s="207"/>
      <c r="AM13" s="207"/>
      <c r="AN13" s="207"/>
      <c r="AO13" s="470">
        <f t="shared" si="8"/>
        <v>0</v>
      </c>
    </row>
    <row r="14" spans="1:41" ht="12.75" customHeight="1" thickBot="1">
      <c r="A14" s="148" t="str">
        <f>'t1'!A14</f>
        <v>MAGISTRATI ORDINARI IN TIROCINIO</v>
      </c>
      <c r="B14" s="219" t="str">
        <f>'t1'!B14</f>
        <v>0D0MT9</v>
      </c>
      <c r="C14" s="791">
        <f t="shared" si="9"/>
        <v>0</v>
      </c>
      <c r="D14" s="791">
        <f t="shared" si="0"/>
        <v>0</v>
      </c>
      <c r="E14" s="791">
        <f t="shared" si="0"/>
        <v>0</v>
      </c>
      <c r="F14" s="780">
        <f t="shared" si="1"/>
        <v>0</v>
      </c>
      <c r="G14" s="792">
        <f t="shared" si="2"/>
        <v>0</v>
      </c>
      <c r="H14" s="792">
        <f t="shared" si="3"/>
        <v>0</v>
      </c>
      <c r="I14" s="792">
        <f t="shared" si="4"/>
        <v>0</v>
      </c>
      <c r="J14" s="792">
        <f t="shared" si="5"/>
        <v>0</v>
      </c>
      <c r="K14" s="792">
        <f t="shared" si="6"/>
        <v>0</v>
      </c>
      <c r="L14" s="470">
        <f t="shared" si="7"/>
        <v>0</v>
      </c>
      <c r="AF14" s="206"/>
      <c r="AG14" s="206"/>
      <c r="AH14" s="203"/>
      <c r="AI14" s="203"/>
      <c r="AJ14" s="207"/>
      <c r="AK14" s="207"/>
      <c r="AL14" s="207"/>
      <c r="AM14" s="207"/>
      <c r="AN14" s="207"/>
      <c r="AO14" s="470">
        <f t="shared" si="8"/>
        <v>0</v>
      </c>
    </row>
    <row r="15" spans="1:41" ht="15" customHeight="1" thickBot="1" thickTop="1">
      <c r="A15" s="158" t="s">
        <v>59</v>
      </c>
      <c r="B15" s="116"/>
      <c r="C15" s="469">
        <f>SUM(C6:C14)</f>
        <v>0</v>
      </c>
      <c r="D15" s="469">
        <f>SUM(D6:D14)</f>
        <v>0</v>
      </c>
      <c r="E15" s="469">
        <f>SUM(E6:E14)</f>
        <v>0</v>
      </c>
      <c r="F15" s="469">
        <f aca="true" t="shared" si="10" ref="F15:K15">SUM(F6:F14)</f>
        <v>0</v>
      </c>
      <c r="G15" s="469">
        <f t="shared" si="10"/>
        <v>0</v>
      </c>
      <c r="H15" s="469">
        <f t="shared" si="10"/>
        <v>0</v>
      </c>
      <c r="I15" s="469">
        <f t="shared" si="10"/>
        <v>0</v>
      </c>
      <c r="J15" s="469">
        <f t="shared" si="10"/>
        <v>0</v>
      </c>
      <c r="K15" s="469">
        <f t="shared" si="10"/>
        <v>0</v>
      </c>
      <c r="L15" s="467">
        <f>SUM(L6:L14)</f>
        <v>0</v>
      </c>
      <c r="AF15" s="469">
        <f>SUM(AF6:AF14)</f>
        <v>0</v>
      </c>
      <c r="AG15" s="469">
        <f>SUM(AG6:AG14)</f>
        <v>0</v>
      </c>
      <c r="AH15" s="469">
        <f>SUM(AH6:AH14)</f>
        <v>0</v>
      </c>
      <c r="AI15" s="469">
        <f aca="true" t="shared" si="11" ref="AI15:AN15">SUM(AI6:AI14)</f>
        <v>0</v>
      </c>
      <c r="AJ15" s="469">
        <f t="shared" si="11"/>
        <v>0</v>
      </c>
      <c r="AK15" s="469">
        <f t="shared" si="11"/>
        <v>0</v>
      </c>
      <c r="AL15" s="469">
        <f t="shared" si="11"/>
        <v>0</v>
      </c>
      <c r="AM15" s="469">
        <f t="shared" si="11"/>
        <v>0</v>
      </c>
      <c r="AN15" s="469">
        <f t="shared" si="11"/>
        <v>0</v>
      </c>
      <c r="AO15" s="467">
        <f>SUM(AO6:AO14)</f>
        <v>0</v>
      </c>
    </row>
    <row r="16" spans="1:43" ht="11.25">
      <c r="A16" s="21"/>
      <c r="L16" s="41"/>
      <c r="M16" s="41"/>
      <c r="N16" s="41"/>
      <c r="AO16" s="41"/>
      <c r="AP16" s="41"/>
      <c r="AQ16" s="41"/>
    </row>
    <row r="17" ht="11.25">
      <c r="A17" s="21"/>
    </row>
    <row r="18" spans="1:43" ht="11.25">
      <c r="A18" s="5" t="s">
        <v>162</v>
      </c>
      <c r="B18" s="58"/>
      <c r="C18" s="56"/>
      <c r="D18" s="56"/>
      <c r="E18" s="56"/>
      <c r="F18" s="56"/>
      <c r="G18" s="56"/>
      <c r="H18" s="56"/>
      <c r="I18" s="56"/>
      <c r="J18" s="56"/>
      <c r="K18" s="56"/>
      <c r="L18" s="56"/>
      <c r="M18" s="56"/>
      <c r="N18" s="56"/>
      <c r="AF18" s="56"/>
      <c r="AG18" s="56"/>
      <c r="AH18" s="56"/>
      <c r="AI18" s="56"/>
      <c r="AJ18" s="56"/>
      <c r="AK18" s="56"/>
      <c r="AL18" s="56"/>
      <c r="AM18" s="56"/>
      <c r="AN18" s="56"/>
      <c r="AO18" s="56"/>
      <c r="AP18" s="56"/>
      <c r="AQ18" s="56"/>
    </row>
    <row r="19" ht="11.25">
      <c r="A19" s="150"/>
    </row>
    <row r="20" ht="11.25">
      <c r="A20" s="150"/>
    </row>
    <row r="21" ht="11.25">
      <c r="A21" s="3"/>
    </row>
  </sheetData>
  <sheetProtection password="EA98" sheet="1" formatColumns="0" selectLockedCells="1"/>
  <dataValidations count="1">
    <dataValidation type="whole" allowBlank="1" showInputMessage="1" showErrorMessage="1" errorTitle="ERRORE NEL DATO IMMESSO" error="INSERIRE SOLO NUMERI INTERI" sqref="AF6:AN14">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3" style="0" customWidth="1"/>
    <col min="6" max="6" width="12.5" style="0" bestFit="1" customWidth="1"/>
    <col min="7" max="7" width="0" style="0" hidden="1" customWidth="1"/>
  </cols>
  <sheetData>
    <row r="1" spans="1:14" s="5" customFormat="1" ht="43.5" customHeight="1">
      <c r="A1" s="903" t="str">
        <f>'t1'!A1</f>
        <v>MAGISTRATURA ORDINARIA - anno 2019</v>
      </c>
      <c r="B1" s="903"/>
      <c r="C1" s="903"/>
      <c r="D1" s="903"/>
      <c r="E1" s="3"/>
      <c r="F1" s="3"/>
      <c r="G1" s="3"/>
      <c r="H1" s="4"/>
      <c r="I1" s="3"/>
      <c r="J1" s="3"/>
      <c r="K1" s="3"/>
      <c r="L1" s="3"/>
      <c r="N1"/>
    </row>
    <row r="2" spans="1:4" ht="30" customHeight="1" thickBot="1">
      <c r="A2" s="6"/>
      <c r="B2" s="955">
        <f>IF(AND(A32="",(D25+D26+D27+D28+D29)&gt;0),"ATTENZIONE!  Inserire nel campo NOTE l'elenco delle Istituzioni ed il relativo importo dei rimborsi",IF(AND(A32&lt;&gt;"",(D25+D26+D27+D28+D29)=0),"ATTENZIONE!  il campo NOTE non deve essere compilato in assenza di rimborsi",""))</f>
      </c>
      <c r="C2" s="955"/>
      <c r="D2" s="955"/>
    </row>
    <row r="3" spans="1:4" ht="21.75" customHeight="1" thickBot="1">
      <c r="A3" s="104" t="s">
        <v>113</v>
      </c>
      <c r="B3" s="286" t="s">
        <v>87</v>
      </c>
      <c r="C3" s="782"/>
      <c r="D3" s="287" t="s">
        <v>88</v>
      </c>
    </row>
    <row r="4" spans="1:4" s="106" customFormat="1" ht="23.25" customHeight="1" thickTop="1">
      <c r="A4" s="105" t="s">
        <v>131</v>
      </c>
      <c r="B4" s="165" t="s">
        <v>135</v>
      </c>
      <c r="C4" s="783">
        <f>ROUND(D4,0)</f>
        <v>0</v>
      </c>
      <c r="D4" s="208"/>
    </row>
    <row r="5" spans="1:4" s="106" customFormat="1" ht="23.25" customHeight="1">
      <c r="A5" s="109" t="s">
        <v>335</v>
      </c>
      <c r="B5" s="166" t="s">
        <v>147</v>
      </c>
      <c r="C5" s="784">
        <f aca="true" t="shared" si="0" ref="C5:C29">ROUND(D5,0)</f>
        <v>0</v>
      </c>
      <c r="D5" s="208"/>
    </row>
    <row r="6" spans="1:4" s="106" customFormat="1" ht="23.25" customHeight="1">
      <c r="A6" s="109" t="s">
        <v>125</v>
      </c>
      <c r="B6" s="155" t="s">
        <v>148</v>
      </c>
      <c r="C6" s="783">
        <f t="shared" si="0"/>
        <v>0</v>
      </c>
      <c r="D6" s="208"/>
    </row>
    <row r="7" spans="1:4" s="106" customFormat="1" ht="23.25" customHeight="1">
      <c r="A7" s="109" t="s">
        <v>129</v>
      </c>
      <c r="B7" s="167" t="s">
        <v>149</v>
      </c>
      <c r="C7" s="784">
        <f t="shared" si="0"/>
        <v>0</v>
      </c>
      <c r="D7" s="208"/>
    </row>
    <row r="8" spans="1:4" s="106" customFormat="1" ht="23.25" customHeight="1">
      <c r="A8" s="110" t="s">
        <v>128</v>
      </c>
      <c r="B8" s="155" t="s">
        <v>150</v>
      </c>
      <c r="C8" s="783">
        <f t="shared" si="0"/>
        <v>0</v>
      </c>
      <c r="D8" s="208"/>
    </row>
    <row r="9" spans="1:4" s="106" customFormat="1" ht="23.25" customHeight="1">
      <c r="A9" s="133" t="s">
        <v>127</v>
      </c>
      <c r="B9" s="167" t="s">
        <v>151</v>
      </c>
      <c r="C9" s="784">
        <f t="shared" si="0"/>
        <v>0</v>
      </c>
      <c r="D9" s="209"/>
    </row>
    <row r="10" spans="1:4" s="106" customFormat="1" ht="23.25" customHeight="1">
      <c r="A10" s="168" t="s">
        <v>336</v>
      </c>
      <c r="B10" s="155" t="s">
        <v>139</v>
      </c>
      <c r="C10" s="783">
        <f t="shared" si="0"/>
        <v>0</v>
      </c>
      <c r="D10" s="208"/>
    </row>
    <row r="11" spans="1:4" s="106" customFormat="1" ht="23.25" customHeight="1">
      <c r="A11" s="110" t="s">
        <v>152</v>
      </c>
      <c r="B11" s="154" t="s">
        <v>153</v>
      </c>
      <c r="C11" s="783">
        <f t="shared" si="0"/>
        <v>0</v>
      </c>
      <c r="D11" s="208"/>
    </row>
    <row r="12" spans="1:4" s="106" customFormat="1" ht="23.25" customHeight="1">
      <c r="A12" s="110" t="s">
        <v>46</v>
      </c>
      <c r="B12" s="154" t="s">
        <v>155</v>
      </c>
      <c r="C12" s="783">
        <f t="shared" si="0"/>
        <v>0</v>
      </c>
      <c r="D12" s="208"/>
    </row>
    <row r="13" spans="1:4" s="106" customFormat="1" ht="23.25" customHeight="1">
      <c r="A13" s="110" t="s">
        <v>337</v>
      </c>
      <c r="B13" s="155" t="s">
        <v>165</v>
      </c>
      <c r="C13" s="783">
        <f t="shared" si="0"/>
        <v>0</v>
      </c>
      <c r="D13" s="208"/>
    </row>
    <row r="14" spans="1:4" s="106" customFormat="1" ht="23.25" customHeight="1">
      <c r="A14" s="110" t="s">
        <v>0</v>
      </c>
      <c r="B14" s="155" t="s">
        <v>1</v>
      </c>
      <c r="C14" s="783">
        <f t="shared" si="0"/>
        <v>0</v>
      </c>
      <c r="D14" s="208"/>
    </row>
    <row r="15" spans="1:4" s="106" customFormat="1" ht="23.25" customHeight="1">
      <c r="A15" s="133" t="s">
        <v>90</v>
      </c>
      <c r="B15" s="167" t="s">
        <v>154</v>
      </c>
      <c r="C15" s="784">
        <f t="shared" si="0"/>
        <v>0</v>
      </c>
      <c r="D15" s="209"/>
    </row>
    <row r="16" spans="1:4" s="106" customFormat="1" ht="23.25" customHeight="1">
      <c r="A16" s="168" t="s">
        <v>338</v>
      </c>
      <c r="B16" s="166" t="s">
        <v>136</v>
      </c>
      <c r="C16" s="785">
        <f t="shared" si="0"/>
        <v>0</v>
      </c>
      <c r="D16" s="209"/>
    </row>
    <row r="17" spans="1:4" s="106" customFormat="1" ht="23.25" customHeight="1">
      <c r="A17" s="111" t="s">
        <v>339</v>
      </c>
      <c r="B17" s="155" t="s">
        <v>137</v>
      </c>
      <c r="C17" s="783">
        <f t="shared" si="0"/>
        <v>0</v>
      </c>
      <c r="D17" s="208"/>
    </row>
    <row r="18" spans="1:4" s="108" customFormat="1" ht="23.25" customHeight="1">
      <c r="A18" s="107" t="s">
        <v>126</v>
      </c>
      <c r="B18" s="154" t="s">
        <v>146</v>
      </c>
      <c r="C18" s="783">
        <f t="shared" si="0"/>
        <v>0</v>
      </c>
      <c r="D18" s="209"/>
    </row>
    <row r="19" spans="1:4" s="108" customFormat="1" ht="23.25" customHeight="1">
      <c r="A19" s="735" t="s">
        <v>464</v>
      </c>
      <c r="B19" s="736" t="s">
        <v>465</v>
      </c>
      <c r="C19" s="786">
        <f t="shared" si="0"/>
        <v>0</v>
      </c>
      <c r="D19" s="208"/>
    </row>
    <row r="20" spans="1:7" s="5" customFormat="1" ht="23.25" customHeight="1">
      <c r="A20" s="105" t="s">
        <v>340</v>
      </c>
      <c r="B20" s="155" t="s">
        <v>142</v>
      </c>
      <c r="C20" s="783">
        <f t="shared" si="0"/>
        <v>0</v>
      </c>
      <c r="D20" s="208"/>
      <c r="G20" s="737" t="s">
        <v>466</v>
      </c>
    </row>
    <row r="21" spans="1:7" s="108" customFormat="1" ht="23.25" customHeight="1">
      <c r="A21" s="105" t="s">
        <v>341</v>
      </c>
      <c r="B21" s="167" t="s">
        <v>143</v>
      </c>
      <c r="C21" s="784">
        <f t="shared" si="0"/>
        <v>0</v>
      </c>
      <c r="D21" s="208"/>
      <c r="G21" s="738" t="s">
        <v>467</v>
      </c>
    </row>
    <row r="22" spans="1:7" s="108" customFormat="1" ht="23.25" customHeight="1">
      <c r="A22" s="105" t="s">
        <v>89</v>
      </c>
      <c r="B22" s="155" t="s">
        <v>144</v>
      </c>
      <c r="C22" s="783">
        <f t="shared" si="0"/>
        <v>0</v>
      </c>
      <c r="D22" s="208"/>
      <c r="F22" s="739" t="s">
        <v>468</v>
      </c>
      <c r="G22" s="740">
        <v>2</v>
      </c>
    </row>
    <row r="23" spans="1:4" s="108" customFormat="1" ht="23.25" customHeight="1">
      <c r="A23" s="105" t="s">
        <v>342</v>
      </c>
      <c r="B23" s="167" t="s">
        <v>138</v>
      </c>
      <c r="C23" s="784">
        <f t="shared" si="0"/>
        <v>0</v>
      </c>
      <c r="D23" s="208"/>
    </row>
    <row r="24" spans="1:4" s="108" customFormat="1" ht="23.25" customHeight="1">
      <c r="A24" s="745" t="s">
        <v>476</v>
      </c>
      <c r="B24" s="155" t="s">
        <v>140</v>
      </c>
      <c r="C24" s="787">
        <f t="shared" si="0"/>
        <v>0</v>
      </c>
      <c r="D24" s="210"/>
    </row>
    <row r="25" spans="1:4" s="108" customFormat="1" ht="23.25" customHeight="1">
      <c r="A25" s="169" t="s">
        <v>354</v>
      </c>
      <c r="B25" s="154" t="s">
        <v>141</v>
      </c>
      <c r="C25" s="788">
        <f t="shared" si="0"/>
        <v>0</v>
      </c>
      <c r="D25" s="210"/>
    </row>
    <row r="26" spans="1:4" s="108" customFormat="1" ht="23.25" customHeight="1">
      <c r="A26" s="169" t="s">
        <v>355</v>
      </c>
      <c r="B26" s="154" t="s">
        <v>356</v>
      </c>
      <c r="C26" s="788">
        <f t="shared" si="0"/>
        <v>0</v>
      </c>
      <c r="D26" s="210"/>
    </row>
    <row r="27" spans="1:4" s="108" customFormat="1" ht="23.25" customHeight="1">
      <c r="A27" s="602" t="s">
        <v>380</v>
      </c>
      <c r="B27" s="154" t="s">
        <v>343</v>
      </c>
      <c r="C27" s="788">
        <f t="shared" si="0"/>
        <v>0</v>
      </c>
      <c r="D27" s="210"/>
    </row>
    <row r="28" spans="1:4" s="108" customFormat="1" ht="23.25" customHeight="1">
      <c r="A28" s="601" t="s">
        <v>379</v>
      </c>
      <c r="B28" s="155" t="s">
        <v>145</v>
      </c>
      <c r="C28" s="789">
        <f t="shared" si="0"/>
        <v>0</v>
      </c>
      <c r="D28" s="209"/>
    </row>
    <row r="29" spans="1:4" s="108" customFormat="1" ht="23.25" customHeight="1" thickBot="1">
      <c r="A29" s="604" t="s">
        <v>381</v>
      </c>
      <c r="B29" s="156" t="s">
        <v>357</v>
      </c>
      <c r="C29" s="790">
        <f t="shared" si="0"/>
        <v>0</v>
      </c>
      <c r="D29" s="211"/>
    </row>
    <row r="30" spans="1:4" s="108" customFormat="1" ht="15" customHeight="1" thickBot="1">
      <c r="A30" s="962" t="str">
        <f>IF(G22=1,"ATTENZIONE è stata dichiarata IRAP commerciale. Controllare l'importo inserito!"," ")</f>
        <v> </v>
      </c>
      <c r="B30" s="962"/>
      <c r="C30" s="962"/>
      <c r="D30" s="962"/>
    </row>
    <row r="31" spans="1:4" s="108" customFormat="1" ht="15" customHeight="1">
      <c r="A31" s="959" t="s">
        <v>453</v>
      </c>
      <c r="B31" s="960"/>
      <c r="C31" s="960"/>
      <c r="D31" s="961"/>
    </row>
    <row r="32" spans="1:8" s="108" customFormat="1" ht="94.5" customHeight="1" thickBot="1">
      <c r="A32" s="956"/>
      <c r="B32" s="957"/>
      <c r="C32" s="957"/>
      <c r="D32" s="958"/>
      <c r="E32" s="963">
        <f>IF(AND(A32="",(D25+D26)&gt;0),"ATTENZIONE!  Inserire nel campo NOTE l'elenco delle Istituzioni ed il relativo importo dei rimborsi EFFETTUATI!",IF(AND(A32&lt;&gt;"",(D25+D26)=0),"ATTENZIONE!  il campo NOTE non deve essere compilato in assenza di rimborsi",""))</f>
      </c>
      <c r="F32" s="964"/>
      <c r="G32" s="964"/>
      <c r="H32" s="964"/>
    </row>
    <row r="33" spans="1:4" s="108" customFormat="1" ht="15" customHeight="1" thickBot="1">
      <c r="A33" s="962"/>
      <c r="B33" s="962"/>
      <c r="C33" s="962"/>
      <c r="D33" s="962"/>
    </row>
    <row r="34" spans="1:4" s="108" customFormat="1" ht="15" customHeight="1">
      <c r="A34" s="959" t="s">
        <v>454</v>
      </c>
      <c r="B34" s="960"/>
      <c r="C34" s="960"/>
      <c r="D34" s="961"/>
    </row>
    <row r="35" spans="1:8" s="108" customFormat="1" ht="94.5" customHeight="1" thickBot="1">
      <c r="A35" s="956"/>
      <c r="B35" s="957"/>
      <c r="C35" s="957"/>
      <c r="D35" s="958"/>
      <c r="E35" s="963">
        <f>IF(AND(A35="",(D27+D28+D29)&gt;0),"ATTENZIONE!  Inserire nel campo NOTE l'elenco delle Istituzioni ed il relativo importo dei rimborsi RICEVUTI!",IF(AND(A35&lt;&gt;"",(D27+D28+D29)=0),"ATTENZIONE!  il campo NOTE non deve essere compilato in assenza di rimborsi",""))</f>
      </c>
      <c r="F35" s="964"/>
      <c r="G35" s="964"/>
      <c r="H35" s="964"/>
    </row>
    <row r="36" spans="1:3" s="108" customFormat="1" ht="23.25" customHeight="1">
      <c r="A36" s="5" t="s">
        <v>382</v>
      </c>
      <c r="B36"/>
      <c r="C36"/>
    </row>
    <row r="37" spans="1:4" ht="25.5" customHeight="1">
      <c r="A37" s="965" t="s">
        <v>455</v>
      </c>
      <c r="B37" s="965"/>
      <c r="C37" s="965"/>
      <c r="D37" s="965"/>
    </row>
    <row r="38" spans="1:4" ht="25.5" customHeight="1">
      <c r="A38" s="965" t="s">
        <v>456</v>
      </c>
      <c r="B38" s="965"/>
      <c r="C38" s="965"/>
      <c r="D38" s="965"/>
    </row>
    <row r="53" ht="10.5">
      <c r="A53" s="603"/>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59" customWidth="1"/>
    <col min="2" max="3" width="25.83203125" style="359" customWidth="1"/>
    <col min="4" max="4" width="60.83203125" style="359" customWidth="1"/>
    <col min="5" max="5" width="9.16015625" style="359" hidden="1" customWidth="1"/>
    <col min="6" max="6" width="10" style="359" customWidth="1"/>
    <col min="7" max="16384" width="9.16015625" style="359" customWidth="1"/>
  </cols>
  <sheetData>
    <row r="1" spans="1:12" s="358" customFormat="1" ht="43.5" customHeight="1">
      <c r="A1" s="903" t="str">
        <f>'t1'!A1</f>
        <v>MAGISTRATURA ORDINARIA - anno 2019</v>
      </c>
      <c r="B1" s="903"/>
      <c r="C1" s="966"/>
      <c r="D1" s="966"/>
      <c r="E1" s="690"/>
      <c r="F1" s="4"/>
      <c r="G1" s="690"/>
      <c r="H1" s="690"/>
      <c r="I1" s="690"/>
      <c r="J1" s="690"/>
      <c r="L1" s="359"/>
    </row>
    <row r="2" spans="1:4" ht="30" customHeight="1" thickBot="1">
      <c r="A2" s="967" t="str">
        <f>IF(B31&gt;0,IF($F$32&gt;0," ","Attenzione: Compilare la presente Tabella"),IF(C31=0," "," "))</f>
        <v> </v>
      </c>
      <c r="B2" s="967"/>
      <c r="C2" s="968"/>
      <c r="D2" s="968"/>
    </row>
    <row r="3" spans="1:4" ht="21.75" customHeight="1" thickBot="1">
      <c r="A3" s="691" t="s">
        <v>433</v>
      </c>
      <c r="B3" s="692" t="s">
        <v>434</v>
      </c>
      <c r="C3" s="692" t="s">
        <v>435</v>
      </c>
      <c r="D3" s="693" t="s">
        <v>373</v>
      </c>
    </row>
    <row r="4" spans="1:5" s="697" customFormat="1" ht="23.25" customHeight="1">
      <c r="A4" s="694" t="s">
        <v>436</v>
      </c>
      <c r="B4" s="695">
        <f>'t12'!K15</f>
        <v>0</v>
      </c>
      <c r="C4" s="969"/>
      <c r="D4" s="971"/>
      <c r="E4" s="696" t="s">
        <v>437</v>
      </c>
    </row>
    <row r="5" spans="1:5" s="697" customFormat="1" ht="23.25" customHeight="1">
      <c r="A5" s="602" t="s">
        <v>438</v>
      </c>
      <c r="B5" s="698">
        <f>'t13'!L15</f>
        <v>0</v>
      </c>
      <c r="C5" s="970"/>
      <c r="D5" s="972"/>
      <c r="E5" s="696" t="s">
        <v>439</v>
      </c>
    </row>
    <row r="6" spans="1:5" s="697" customFormat="1" ht="23.25" customHeight="1">
      <c r="A6" s="602" t="s">
        <v>440</v>
      </c>
      <c r="B6" s="698">
        <f>'t14'!D4</f>
        <v>0</v>
      </c>
      <c r="C6" s="970"/>
      <c r="D6" s="972"/>
      <c r="E6" s="696" t="s">
        <v>439</v>
      </c>
    </row>
    <row r="7" spans="1:5" s="697" customFormat="1" ht="23.25" customHeight="1">
      <c r="A7" s="602" t="s">
        <v>441</v>
      </c>
      <c r="B7" s="829"/>
      <c r="C7" s="827"/>
      <c r="D7" s="828"/>
      <c r="E7" s="696" t="s">
        <v>147</v>
      </c>
    </row>
    <row r="8" spans="1:5" s="697" customFormat="1" ht="23.25" customHeight="1">
      <c r="A8" s="602" t="s">
        <v>125</v>
      </c>
      <c r="B8" s="829"/>
      <c r="C8" s="829"/>
      <c r="D8" s="830"/>
      <c r="E8" s="696" t="s">
        <v>148</v>
      </c>
    </row>
    <row r="9" spans="1:5" s="697" customFormat="1" ht="23.25" customHeight="1">
      <c r="A9" s="701" t="s">
        <v>129</v>
      </c>
      <c r="B9" s="829"/>
      <c r="C9" s="829"/>
      <c r="D9" s="830"/>
      <c r="E9" s="696" t="s">
        <v>149</v>
      </c>
    </row>
    <row r="10" spans="1:5" s="697" customFormat="1" ht="23.25" customHeight="1">
      <c r="A10" s="602" t="s">
        <v>128</v>
      </c>
      <c r="B10" s="829"/>
      <c r="C10" s="829"/>
      <c r="D10" s="830"/>
      <c r="E10" s="696" t="s">
        <v>150</v>
      </c>
    </row>
    <row r="11" spans="1:5" s="697" customFormat="1" ht="23.25" customHeight="1">
      <c r="A11" s="602" t="s">
        <v>127</v>
      </c>
      <c r="B11" s="829"/>
      <c r="C11" s="829"/>
      <c r="D11" s="830"/>
      <c r="E11" s="696" t="s">
        <v>151</v>
      </c>
    </row>
    <row r="12" spans="1:5" s="697" customFormat="1" ht="23.25" customHeight="1">
      <c r="A12" s="602" t="s">
        <v>457</v>
      </c>
      <c r="B12" s="829"/>
      <c r="C12" s="829"/>
      <c r="D12" s="830"/>
      <c r="E12" s="696" t="s">
        <v>139</v>
      </c>
    </row>
    <row r="13" spans="1:5" s="697" customFormat="1" ht="23.25" customHeight="1">
      <c r="A13" s="602" t="s">
        <v>458</v>
      </c>
      <c r="B13" s="829"/>
      <c r="C13" s="829"/>
      <c r="D13" s="830"/>
      <c r="E13" s="696" t="s">
        <v>138</v>
      </c>
    </row>
    <row r="14" spans="1:5" s="697" customFormat="1" ht="23.25" customHeight="1">
      <c r="A14" s="602" t="s">
        <v>152</v>
      </c>
      <c r="B14" s="829"/>
      <c r="C14" s="831"/>
      <c r="D14" s="832"/>
      <c r="E14" s="696" t="s">
        <v>153</v>
      </c>
    </row>
    <row r="15" spans="1:5" s="697" customFormat="1" ht="23.25" customHeight="1">
      <c r="A15" s="602" t="s">
        <v>46</v>
      </c>
      <c r="B15" s="704">
        <f>'t14'!D12</f>
        <v>0</v>
      </c>
      <c r="C15" s="699"/>
      <c r="D15" s="700"/>
      <c r="E15" s="696" t="s">
        <v>155</v>
      </c>
    </row>
    <row r="16" spans="1:5" s="697" customFormat="1" ht="23.25" customHeight="1">
      <c r="A16" s="602" t="s">
        <v>337</v>
      </c>
      <c r="B16" s="698">
        <f>'t14'!D13</f>
        <v>0</v>
      </c>
      <c r="C16" s="821"/>
      <c r="D16" s="822"/>
      <c r="E16" s="696" t="s">
        <v>165</v>
      </c>
    </row>
    <row r="17" spans="1:5" s="697" customFormat="1" ht="23.25" customHeight="1">
      <c r="A17" s="602" t="s">
        <v>442</v>
      </c>
      <c r="B17" s="829"/>
      <c r="C17" s="827"/>
      <c r="D17" s="828"/>
      <c r="E17" s="696" t="s">
        <v>1</v>
      </c>
    </row>
    <row r="18" spans="1:5" s="705" customFormat="1" ht="23.25" customHeight="1">
      <c r="A18" s="602" t="s">
        <v>90</v>
      </c>
      <c r="B18" s="829"/>
      <c r="C18" s="831"/>
      <c r="D18" s="832"/>
      <c r="E18" s="689" t="s">
        <v>154</v>
      </c>
    </row>
    <row r="19" spans="1:5" s="358" customFormat="1" ht="23.25" customHeight="1">
      <c r="A19" s="602" t="s">
        <v>459</v>
      </c>
      <c r="B19" s="698">
        <f>'t14'!D16</f>
        <v>0</v>
      </c>
      <c r="C19" s="823"/>
      <c r="D19" s="824"/>
      <c r="E19" s="706" t="s">
        <v>136</v>
      </c>
    </row>
    <row r="20" spans="1:5" s="705" customFormat="1" ht="23.25" customHeight="1">
      <c r="A20" s="602" t="s">
        <v>339</v>
      </c>
      <c r="B20" s="829"/>
      <c r="C20" s="827"/>
      <c r="D20" s="828"/>
      <c r="E20" s="696" t="s">
        <v>137</v>
      </c>
    </row>
    <row r="21" spans="1:5" s="705" customFormat="1" ht="23.25" customHeight="1">
      <c r="A21" s="602" t="s">
        <v>126</v>
      </c>
      <c r="B21" s="829"/>
      <c r="C21" s="831"/>
      <c r="D21" s="832"/>
      <c r="E21" s="696" t="s">
        <v>146</v>
      </c>
    </row>
    <row r="22" spans="1:5" s="705" customFormat="1" ht="23.25" customHeight="1">
      <c r="A22" s="602" t="s">
        <v>464</v>
      </c>
      <c r="B22" s="698">
        <f>'t14'!D19</f>
        <v>0</v>
      </c>
      <c r="C22" s="699"/>
      <c r="D22" s="700"/>
      <c r="E22" s="696" t="s">
        <v>465</v>
      </c>
    </row>
    <row r="23" spans="1:5" s="705" customFormat="1" ht="23.25" customHeight="1">
      <c r="A23" s="602" t="s">
        <v>443</v>
      </c>
      <c r="B23" s="698">
        <f>'t14'!D20</f>
        <v>0</v>
      </c>
      <c r="C23" s="699"/>
      <c r="D23" s="700"/>
      <c r="E23" s="696" t="s">
        <v>142</v>
      </c>
    </row>
    <row r="24" spans="1:5" s="705" customFormat="1" ht="23.25" customHeight="1">
      <c r="A24" s="602" t="s">
        <v>460</v>
      </c>
      <c r="B24" s="698">
        <f>'t14'!D21</f>
        <v>0</v>
      </c>
      <c r="C24" s="702"/>
      <c r="D24" s="703"/>
      <c r="E24" s="696" t="s">
        <v>143</v>
      </c>
    </row>
    <row r="25" spans="1:5" s="705" customFormat="1" ht="23.25" customHeight="1">
      <c r="A25" s="602" t="s">
        <v>444</v>
      </c>
      <c r="B25" s="698">
        <f>'t14'!D22</f>
        <v>0</v>
      </c>
      <c r="C25" s="821"/>
      <c r="D25" s="822"/>
      <c r="E25" s="696" t="s">
        <v>144</v>
      </c>
    </row>
    <row r="26" spans="1:5" s="705" customFormat="1" ht="23.25" customHeight="1">
      <c r="A26" s="707" t="s">
        <v>461</v>
      </c>
      <c r="B26" s="829"/>
      <c r="C26" s="833"/>
      <c r="D26" s="834"/>
      <c r="E26" s="696" t="s">
        <v>140</v>
      </c>
    </row>
    <row r="27" spans="1:5" s="705" customFormat="1" ht="23.25" customHeight="1" thickBot="1">
      <c r="A27" s="604" t="s">
        <v>445</v>
      </c>
      <c r="B27" s="708">
        <f>'t14'!D25+'t14'!D26</f>
        <v>0</v>
      </c>
      <c r="C27" s="825"/>
      <c r="D27" s="826"/>
      <c r="E27" s="696" t="s">
        <v>446</v>
      </c>
    </row>
    <row r="28" spans="1:5" ht="15.75" customHeight="1" thickBot="1">
      <c r="A28" s="711" t="s">
        <v>447</v>
      </c>
      <c r="B28" s="712">
        <f>SUM(B4:B27)</f>
        <v>0</v>
      </c>
      <c r="C28" s="712">
        <f>SUM(C4:C27)</f>
        <v>0</v>
      </c>
      <c r="D28" s="713"/>
      <c r="E28" s="696" t="s">
        <v>439</v>
      </c>
    </row>
    <row r="29" spans="1:5" ht="15.75" customHeight="1">
      <c r="A29" s="714"/>
      <c r="B29" s="714"/>
      <c r="C29" s="714"/>
      <c r="D29" s="715"/>
      <c r="E29" s="696" t="s">
        <v>439</v>
      </c>
    </row>
    <row r="30" spans="1:5" s="705" customFormat="1" ht="23.25" customHeight="1" thickBot="1">
      <c r="A30" s="716" t="s">
        <v>448</v>
      </c>
      <c r="B30" s="698">
        <f>'t14'!D27+'t14'!D28+'t14'!D29</f>
        <v>0</v>
      </c>
      <c r="C30" s="709"/>
      <c r="D30" s="710"/>
      <c r="E30" s="696" t="s">
        <v>449</v>
      </c>
    </row>
    <row r="31" spans="1:5" ht="15.75" customHeight="1" thickBot="1">
      <c r="A31" s="711" t="s">
        <v>450</v>
      </c>
      <c r="B31" s="712">
        <f>B28-B30</f>
        <v>0</v>
      </c>
      <c r="C31" s="712">
        <f>C28-C30</f>
        <v>0</v>
      </c>
      <c r="D31" s="717"/>
      <c r="E31" s="718"/>
    </row>
    <row r="32" ht="10.5">
      <c r="F32" s="719">
        <f>IF(AND(C28=0,C30=0,D4="",D7="",D8="",D9="",D10="",D11="",D12="",D13="",D14="",D15="",D16="",D17="",D18="",D19="",D20="",D21="",D23="",D24="",D25="",D26="",D27="",D30=""),0,1)</f>
        <v>0</v>
      </c>
    </row>
    <row r="33" ht="10.5">
      <c r="A33" s="359" t="s">
        <v>162</v>
      </c>
    </row>
    <row r="44" ht="10.5">
      <c r="A44" s="720"/>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Foglio36">
    <tabColor rgb="FFCC0099"/>
  </sheetPr>
  <dimension ref="A1:W1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52" style="5" customWidth="1"/>
    <col min="2" max="2" width="10" style="7" customWidth="1"/>
    <col min="3" max="5" width="10.83203125" style="7" customWidth="1"/>
    <col min="6" max="8" width="11.83203125" style="7" customWidth="1"/>
    <col min="9" max="12" width="13.83203125" style="7" customWidth="1"/>
    <col min="13" max="19" width="16.5" style="7" customWidth="1"/>
    <col min="20" max="20" width="9.33203125" style="102" customWidth="1"/>
  </cols>
  <sheetData>
    <row r="1" spans="1:23" s="5" customFormat="1" ht="43.5" customHeight="1">
      <c r="A1" s="903" t="str">
        <f>'t1'!A1</f>
        <v>MAGISTRATURA ORDINARIA - anno 2019</v>
      </c>
      <c r="B1" s="903"/>
      <c r="C1" s="903"/>
      <c r="D1" s="903"/>
      <c r="E1" s="903"/>
      <c r="F1" s="903"/>
      <c r="G1" s="903"/>
      <c r="H1" s="903"/>
      <c r="I1" s="903"/>
      <c r="J1" s="340"/>
      <c r="K1" s="340"/>
      <c r="L1" s="340"/>
      <c r="M1" s="340"/>
      <c r="N1" s="340"/>
      <c r="O1" s="340"/>
      <c r="P1" s="340"/>
      <c r="Q1" s="340"/>
      <c r="R1" s="340"/>
      <c r="S1" s="340"/>
      <c r="U1" s="3"/>
      <c r="W1"/>
    </row>
    <row r="2" spans="9:23" s="5" customFormat="1" ht="12.75" customHeight="1">
      <c r="I2" s="543"/>
      <c r="J2" s="543"/>
      <c r="K2" s="543"/>
      <c r="L2" s="543"/>
      <c r="M2" s="543"/>
      <c r="N2" s="543"/>
      <c r="O2" s="543"/>
      <c r="P2" s="543"/>
      <c r="Q2" s="543"/>
      <c r="R2" s="543"/>
      <c r="S2" s="543"/>
      <c r="T2" s="309"/>
      <c r="U2" s="3"/>
      <c r="W2"/>
    </row>
    <row r="3" spans="1:4" s="5" customFormat="1" ht="21" customHeight="1">
      <c r="A3" s="190" t="s">
        <v>293</v>
      </c>
      <c r="B3" s="7"/>
      <c r="C3" s="7"/>
      <c r="D3" s="7"/>
    </row>
    <row r="4" spans="1:19" s="5" customFormat="1" ht="21" customHeight="1">
      <c r="A4" s="190"/>
      <c r="B4" s="7"/>
      <c r="C4" s="7"/>
      <c r="D4" s="7"/>
      <c r="F4" s="973" t="s">
        <v>294</v>
      </c>
      <c r="G4" s="974"/>
      <c r="H4" s="975"/>
      <c r="I4" s="973" t="s">
        <v>383</v>
      </c>
      <c r="J4" s="974"/>
      <c r="K4" s="974"/>
      <c r="L4" s="974"/>
      <c r="M4" s="974"/>
      <c r="N4" s="974"/>
      <c r="O4" s="975"/>
      <c r="P4" s="973" t="s">
        <v>384</v>
      </c>
      <c r="Q4" s="974"/>
      <c r="R4" s="974"/>
      <c r="S4" s="974"/>
    </row>
    <row r="5" spans="1:19" ht="63">
      <c r="A5" s="544" t="s">
        <v>210</v>
      </c>
      <c r="B5" s="545" t="s">
        <v>172</v>
      </c>
      <c r="C5" s="546" t="str">
        <f>"presenti al 31/12/"&amp;'t1'!L1&amp;" (tab.1)"</f>
        <v>presenti al 31/12/2019 (tab.1)</v>
      </c>
      <c r="D5" s="546" t="s">
        <v>9</v>
      </c>
      <c r="E5" s="547" t="s">
        <v>295</v>
      </c>
      <c r="F5" s="548" t="str">
        <f>'t11'!C4</f>
        <v>FERIE</v>
      </c>
      <c r="G5" s="548" t="s">
        <v>296</v>
      </c>
      <c r="H5" s="548" t="s">
        <v>297</v>
      </c>
      <c r="I5" s="548" t="s">
        <v>520</v>
      </c>
      <c r="J5" s="548" t="str">
        <f>'t12'!F4</f>
        <v>R.I.A.</v>
      </c>
      <c r="K5" s="548" t="str">
        <f>'t12'!G4</f>
        <v>PROGRESSIONE PER CLASSI E SCATTI/FASCE RETRIBUTIVE</v>
      </c>
      <c r="L5" s="548" t="str">
        <f>'t12'!H4</f>
        <v>TREDICESIMA MENSILTA'</v>
      </c>
      <c r="M5" s="549" t="s">
        <v>298</v>
      </c>
      <c r="N5" s="550" t="str">
        <f>'t12'!I4</f>
        <v>ARRETRATI  ANNI PRECEDENTI</v>
      </c>
      <c r="O5" s="550" t="str">
        <f>'t12'!J4</f>
        <v>RECUPERI DERIVANTI DA ASSENZE, RITARDI, ECC.</v>
      </c>
      <c r="P5" s="548" t="s">
        <v>275</v>
      </c>
      <c r="Q5" s="548" t="s">
        <v>299</v>
      </c>
      <c r="R5" s="548" t="s">
        <v>300</v>
      </c>
      <c r="S5" s="549" t="s">
        <v>301</v>
      </c>
    </row>
    <row r="6" spans="1:19" ht="11.25">
      <c r="A6" s="131" t="str">
        <f>'t1'!A6</f>
        <v>MAGIST.  CON FUNZ. DIRETT. APICALI GIUDICANTI DI LEGITTIMITÀ</v>
      </c>
      <c r="B6" s="311" t="str">
        <f>'t1'!B6</f>
        <v>0D0MT1</v>
      </c>
      <c r="C6" s="551">
        <f>'t1'!K6+'t1'!L6</f>
        <v>0</v>
      </c>
      <c r="D6" s="551">
        <f>('t1'!K6+'t1'!L6)-SUM('t3'!C6:F6,'t3'!I6:L6)+SUM('t3'!M6:P6)</f>
        <v>0</v>
      </c>
      <c r="E6" s="552">
        <f>'t12'!C6/12</f>
        <v>0</v>
      </c>
      <c r="F6" s="552" t="str">
        <f>IF($D6&gt;0,(('t11'!C8+'t11'!D8)/$D6)," ")</f>
        <v> </v>
      </c>
      <c r="G6" s="552" t="str">
        <f>IF($D6&gt;0,(SUM('t11'!E8:N8)/$D6)," ")</f>
        <v> </v>
      </c>
      <c r="H6" s="552" t="str">
        <f>IF($D6&gt;0,(SUM('t11'!O8:R8)/$D6)," ")</f>
        <v> </v>
      </c>
      <c r="I6" s="553" t="str">
        <f>IF($E6=0," ",('t12'!D6+'t12'!E6)/$E6)</f>
        <v> </v>
      </c>
      <c r="J6" s="553" t="str">
        <f>IF($E6=0," ",'t12'!F6/$E6)</f>
        <v> </v>
      </c>
      <c r="K6" s="553" t="str">
        <f>IF($E6=0," ",'t12'!G6/$E6)</f>
        <v> </v>
      </c>
      <c r="L6" s="553" t="str">
        <f>IF($E6=0," ",'t12'!H6/$E6)</f>
        <v> </v>
      </c>
      <c r="M6" s="554">
        <f>SUM(I6:L6)</f>
        <v>0</v>
      </c>
      <c r="N6" s="555" t="str">
        <f>IF($E6=0," ",'t12'!I6/$E6)</f>
        <v> </v>
      </c>
      <c r="O6" s="555" t="str">
        <f>IF($E6=0," ",'t12'!J6/$E6)</f>
        <v> </v>
      </c>
      <c r="P6" s="553" t="str">
        <f>IF($E6=0," ",'t13'!#REF!/$E6)</f>
        <v> </v>
      </c>
      <c r="Q6" s="553" t="str">
        <f>IF($E6=0," ",SUM('t13'!#REF!)/$E6)</f>
        <v> </v>
      </c>
      <c r="R6" s="553" t="str">
        <f>IF($E6=0," ",(SUM('t13'!#REF!)+'t13'!#REF!)/$E6)</f>
        <v> </v>
      </c>
      <c r="S6" s="554">
        <f>SUM(P6:R6)</f>
        <v>0</v>
      </c>
    </row>
    <row r="7" spans="1:19" ht="11.25">
      <c r="A7" s="131" t="str">
        <f>'t1'!A7</f>
        <v>MAGIST. CON FUNZ. DIRETT. APICALI REQUIRENTI DI LEGITTIMITÀ</v>
      </c>
      <c r="B7" s="311" t="str">
        <f>'t1'!B7</f>
        <v>0D0MT2</v>
      </c>
      <c r="C7" s="551">
        <f>'t1'!K7+'t1'!L7</f>
        <v>0</v>
      </c>
      <c r="D7" s="551">
        <f>('t1'!K7+'t1'!L7)-SUM('t3'!C7:F7,'t3'!I7:L7)+SUM('t3'!M7:P7)</f>
        <v>0</v>
      </c>
      <c r="E7" s="552">
        <f>'t12'!C7/12</f>
        <v>0</v>
      </c>
      <c r="F7" s="552" t="str">
        <f>IF($D7&gt;0,(('t11'!C9+'t11'!D9)/$D7)," ")</f>
        <v> </v>
      </c>
      <c r="G7" s="552" t="str">
        <f>IF($D7&gt;0,(SUM('t11'!E9:N9)/$D7)," ")</f>
        <v> </v>
      </c>
      <c r="H7" s="552" t="str">
        <f>IF($D7&gt;0,(SUM('t11'!O9:R9)/$D7)," ")</f>
        <v> </v>
      </c>
      <c r="I7" s="553" t="str">
        <f>IF($E7=0," ",('t12'!D7+'t12'!E7)/$E7)</f>
        <v> </v>
      </c>
      <c r="J7" s="553" t="str">
        <f>IF($E7=0," ",'t12'!F7/$E7)</f>
        <v> </v>
      </c>
      <c r="K7" s="553" t="str">
        <f>IF($E7=0," ",'t12'!G7/$E7)</f>
        <v> </v>
      </c>
      <c r="L7" s="553" t="str">
        <f>IF($E7=0," ",'t12'!H7/$E7)</f>
        <v> </v>
      </c>
      <c r="M7" s="554">
        <f aca="true" t="shared" si="0" ref="M7:M14">SUM(I7:L7)</f>
        <v>0</v>
      </c>
      <c r="N7" s="555" t="str">
        <f>IF($E7=0," ",'t12'!I7/$E7)</f>
        <v> </v>
      </c>
      <c r="O7" s="555" t="str">
        <f>IF($E7=0," ",'t12'!J7/$E7)</f>
        <v> </v>
      </c>
      <c r="P7" s="553" t="str">
        <f>IF($E7=0," ",'t13'!#REF!/$E7)</f>
        <v> </v>
      </c>
      <c r="Q7" s="553" t="str">
        <f>IF($E7=0," ",SUM('t13'!#REF!)/$E7)</f>
        <v> </v>
      </c>
      <c r="R7" s="553" t="str">
        <f>IF($E7=0," ",(SUM('t13'!#REF!)+'t13'!#REF!)/$E7)</f>
        <v> </v>
      </c>
      <c r="S7" s="554">
        <f aca="true" t="shared" si="1" ref="S7:S14">SUM(P7:R7)</f>
        <v>0</v>
      </c>
    </row>
    <row r="8" spans="1:19" ht="11.25">
      <c r="A8" s="131" t="str">
        <f>'t1'!A8</f>
        <v>MAGISTRATI CON FUNZIONI DIRETTIVE SUPERIORI DI LEGITTIMITÀ</v>
      </c>
      <c r="B8" s="311" t="str">
        <f>'t1'!B8</f>
        <v>0D0MT3</v>
      </c>
      <c r="C8" s="551">
        <f>'t1'!K8+'t1'!L8</f>
        <v>0</v>
      </c>
      <c r="D8" s="551">
        <f>('t1'!K8+'t1'!L8)-SUM('t3'!C8:F8,'t3'!I8:L8)+SUM('t3'!M8:P8)</f>
        <v>0</v>
      </c>
      <c r="E8" s="552">
        <f>'t12'!C8/12</f>
        <v>0</v>
      </c>
      <c r="F8" s="552" t="str">
        <f>IF($D8&gt;0,(('t11'!C10+'t11'!D10)/$D8)," ")</f>
        <v> </v>
      </c>
      <c r="G8" s="552" t="str">
        <f>IF($D8&gt;0,(SUM('t11'!E10:N10)/$D8)," ")</f>
        <v> </v>
      </c>
      <c r="H8" s="552" t="str">
        <f>IF($D8&gt;0,(SUM('t11'!O10:R10)/$D8)," ")</f>
        <v> </v>
      </c>
      <c r="I8" s="553" t="str">
        <f>IF($E8=0," ",('t12'!D8+'t12'!E8)/$E8)</f>
        <v> </v>
      </c>
      <c r="J8" s="553" t="str">
        <f>IF($E8=0," ",'t12'!F8/$E8)</f>
        <v> </v>
      </c>
      <c r="K8" s="553" t="str">
        <f>IF($E8=0," ",'t12'!G8/$E8)</f>
        <v> </v>
      </c>
      <c r="L8" s="553" t="str">
        <f>IF($E8=0," ",'t12'!H8/$E8)</f>
        <v> </v>
      </c>
      <c r="M8" s="554">
        <f t="shared" si="0"/>
        <v>0</v>
      </c>
      <c r="N8" s="555" t="str">
        <f>IF($E8=0," ",'t12'!I8/$E8)</f>
        <v> </v>
      </c>
      <c r="O8" s="555" t="str">
        <f>IF($E8=0," ",'t12'!J8/$E8)</f>
        <v> </v>
      </c>
      <c r="P8" s="553" t="str">
        <f>IF($E8=0," ",'t13'!#REF!/$E8)</f>
        <v> </v>
      </c>
      <c r="Q8" s="553" t="str">
        <f>IF($E8=0," ",SUM('t13'!#REF!)/$E8)</f>
        <v> </v>
      </c>
      <c r="R8" s="553" t="str">
        <f>IF($E8=0," ",(SUM('t13'!#REF!)+'t13'!#REF!)/$E8)</f>
        <v> </v>
      </c>
      <c r="S8" s="554">
        <f t="shared" si="1"/>
        <v>0</v>
      </c>
    </row>
    <row r="9" spans="1:19" ht="11.25">
      <c r="A9" s="131" t="str">
        <f>'t1'!A9</f>
        <v>MAGISTRATI ORDINARI VII VALUT. PROF.</v>
      </c>
      <c r="B9" s="311" t="str">
        <f>'t1'!B9</f>
        <v>0D0MT4</v>
      </c>
      <c r="C9" s="551">
        <f>'t1'!K9+'t1'!L9</f>
        <v>0</v>
      </c>
      <c r="D9" s="551">
        <f>('t1'!K9+'t1'!L9)-SUM('t3'!C9:F9,'t3'!I9:L9)+SUM('t3'!M9:P9)</f>
        <v>0</v>
      </c>
      <c r="E9" s="552">
        <f>'t12'!C9/12</f>
        <v>0</v>
      </c>
      <c r="F9" s="552" t="str">
        <f>IF($D9&gt;0,(('t11'!C11+'t11'!D11)/$D9)," ")</f>
        <v> </v>
      </c>
      <c r="G9" s="552" t="str">
        <f>IF($D9&gt;0,(SUM('t11'!E11:N11)/$D9)," ")</f>
        <v> </v>
      </c>
      <c r="H9" s="552" t="str">
        <f>IF($D9&gt;0,(SUM('t11'!O11:R11)/$D9)," ")</f>
        <v> </v>
      </c>
      <c r="I9" s="553" t="str">
        <f>IF($E9=0," ",('t12'!D9+'t12'!E9)/$E9)</f>
        <v> </v>
      </c>
      <c r="J9" s="553" t="str">
        <f>IF($E9=0," ",'t12'!F9/$E9)</f>
        <v> </v>
      </c>
      <c r="K9" s="553" t="str">
        <f>IF($E9=0," ",'t12'!G9/$E9)</f>
        <v> </v>
      </c>
      <c r="L9" s="553" t="str">
        <f>IF($E9=0," ",'t12'!H9/$E9)</f>
        <v> </v>
      </c>
      <c r="M9" s="554">
        <f t="shared" si="0"/>
        <v>0</v>
      </c>
      <c r="N9" s="555" t="str">
        <f>IF($E9=0," ",'t12'!I9/$E9)</f>
        <v> </v>
      </c>
      <c r="O9" s="555" t="str">
        <f>IF($E9=0," ",'t12'!J9/$E9)</f>
        <v> </v>
      </c>
      <c r="P9" s="553" t="str">
        <f>IF($E9=0," ",'t13'!#REF!/$E9)</f>
        <v> </v>
      </c>
      <c r="Q9" s="553" t="str">
        <f>IF($E9=0," ",SUM('t13'!#REF!)/$E9)</f>
        <v> </v>
      </c>
      <c r="R9" s="553" t="str">
        <f>IF($E9=0," ",(SUM('t13'!#REF!)+'t13'!#REF!)/$E9)</f>
        <v> </v>
      </c>
      <c r="S9" s="554">
        <f t="shared" si="1"/>
        <v>0</v>
      </c>
    </row>
    <row r="10" spans="1:19" ht="11.25">
      <c r="A10" s="131" t="str">
        <f>'t1'!A10</f>
        <v>MAGISTRATI ORDINARI V VALUT. PROF.</v>
      </c>
      <c r="B10" s="311" t="str">
        <f>'t1'!B10</f>
        <v>0D0MT5</v>
      </c>
      <c r="C10" s="551">
        <f>'t1'!K10+'t1'!L10</f>
        <v>0</v>
      </c>
      <c r="D10" s="551">
        <f>('t1'!K10+'t1'!L10)-SUM('t3'!C10:F10,'t3'!I10:L10)+SUM('t3'!M10:P10)</f>
        <v>0</v>
      </c>
      <c r="E10" s="552">
        <f>'t12'!C10/12</f>
        <v>0</v>
      </c>
      <c r="F10" s="552" t="str">
        <f>IF($D10&gt;0,(('t11'!C12+'t11'!D12)/$D10)," ")</f>
        <v> </v>
      </c>
      <c r="G10" s="552" t="str">
        <f>IF($D10&gt;0,(SUM('t11'!E12:N12)/$D10)," ")</f>
        <v> </v>
      </c>
      <c r="H10" s="552" t="str">
        <f>IF($D10&gt;0,(SUM('t11'!O12:R12)/$D10)," ")</f>
        <v> </v>
      </c>
      <c r="I10" s="553" t="str">
        <f>IF($E10=0," ",('t12'!D10+'t12'!E10)/$E10)</f>
        <v> </v>
      </c>
      <c r="J10" s="553" t="str">
        <f>IF($E10=0," ",'t12'!F10/$E10)</f>
        <v> </v>
      </c>
      <c r="K10" s="553" t="str">
        <f>IF($E10=0," ",'t12'!G10/$E10)</f>
        <v> </v>
      </c>
      <c r="L10" s="553" t="str">
        <f>IF($E10=0," ",'t12'!H10/$E10)</f>
        <v> </v>
      </c>
      <c r="M10" s="554">
        <f t="shared" si="0"/>
        <v>0</v>
      </c>
      <c r="N10" s="555" t="str">
        <f>IF($E10=0," ",'t12'!I10/$E10)</f>
        <v> </v>
      </c>
      <c r="O10" s="555" t="str">
        <f>IF($E10=0," ",'t12'!J10/$E10)</f>
        <v> </v>
      </c>
      <c r="P10" s="553" t="str">
        <f>IF($E10=0," ",'t13'!#REF!/$E10)</f>
        <v> </v>
      </c>
      <c r="Q10" s="553" t="str">
        <f>IF($E10=0," ",SUM('t13'!#REF!)/$E10)</f>
        <v> </v>
      </c>
      <c r="R10" s="553" t="str">
        <f>IF($E10=0," ",(SUM('t13'!#REF!)+'t13'!#REF!)/$E10)</f>
        <v> </v>
      </c>
      <c r="S10" s="554">
        <f t="shared" si="1"/>
        <v>0</v>
      </c>
    </row>
    <row r="11" spans="1:19" ht="11.25">
      <c r="A11" s="131" t="str">
        <f>'t1'!A11</f>
        <v>MAGISTRATI ORDINARI DOPO 1 ANNO DALLA III VALUT. PROF.</v>
      </c>
      <c r="B11" s="311" t="str">
        <f>'t1'!B11</f>
        <v>0D0MT6</v>
      </c>
      <c r="C11" s="551">
        <f>'t1'!K11+'t1'!L11</f>
        <v>0</v>
      </c>
      <c r="D11" s="551">
        <f>('t1'!K11+'t1'!L11)-SUM('t3'!C11:F11,'t3'!I11:L11)+SUM('t3'!M11:P11)</f>
        <v>0</v>
      </c>
      <c r="E11" s="552">
        <f>'t12'!C11/12</f>
        <v>0</v>
      </c>
      <c r="F11" s="552" t="str">
        <f>IF($D11&gt;0,(('t11'!C13+'t11'!D13)/$D11)," ")</f>
        <v> </v>
      </c>
      <c r="G11" s="552" t="str">
        <f>IF($D11&gt;0,(SUM('t11'!E13:N13)/$D11)," ")</f>
        <v> </v>
      </c>
      <c r="H11" s="552" t="str">
        <f>IF($D11&gt;0,(SUM('t11'!O13:R13)/$D11)," ")</f>
        <v> </v>
      </c>
      <c r="I11" s="553" t="str">
        <f>IF($E11=0," ",('t12'!D11+'t12'!E11)/$E11)</f>
        <v> </v>
      </c>
      <c r="J11" s="553" t="str">
        <f>IF($E11=0," ",'t12'!F11/$E11)</f>
        <v> </v>
      </c>
      <c r="K11" s="553" t="str">
        <f>IF($E11=0," ",'t12'!G11/$E11)</f>
        <v> </v>
      </c>
      <c r="L11" s="553" t="str">
        <f>IF($E11=0," ",'t12'!H11/$E11)</f>
        <v> </v>
      </c>
      <c r="M11" s="554">
        <f t="shared" si="0"/>
        <v>0</v>
      </c>
      <c r="N11" s="555" t="str">
        <f>IF($E11=0," ",'t12'!I11/$E11)</f>
        <v> </v>
      </c>
      <c r="O11" s="555" t="str">
        <f>IF($E11=0," ",'t12'!J11/$E11)</f>
        <v> </v>
      </c>
      <c r="P11" s="553" t="str">
        <f>IF($E11=0," ",'t13'!#REF!/$E11)</f>
        <v> </v>
      </c>
      <c r="Q11" s="553" t="str">
        <f>IF($E11=0," ",SUM('t13'!#REF!)/$E11)</f>
        <v> </v>
      </c>
      <c r="R11" s="553" t="str">
        <f>IF($E11=0," ",(SUM('t13'!#REF!)+'t13'!#REF!)/$E11)</f>
        <v> </v>
      </c>
      <c r="S11" s="554">
        <f t="shared" si="1"/>
        <v>0</v>
      </c>
    </row>
    <row r="12" spans="1:19" ht="11.25">
      <c r="A12" s="131" t="str">
        <f>'t1'!A12</f>
        <v>MAGISTRATI ORDINARI  I  VALUT. PROF.</v>
      </c>
      <c r="B12" s="311" t="str">
        <f>'t1'!B12</f>
        <v>0D0MT7</v>
      </c>
      <c r="C12" s="551">
        <f>'t1'!K12+'t1'!L12</f>
        <v>0</v>
      </c>
      <c r="D12" s="551">
        <f>('t1'!K12+'t1'!L12)-SUM('t3'!C12:F12,'t3'!I12:L12)+SUM('t3'!M12:P12)</f>
        <v>0</v>
      </c>
      <c r="E12" s="552">
        <f>'t12'!C12/12</f>
        <v>0</v>
      </c>
      <c r="F12" s="552" t="str">
        <f>IF($D12&gt;0,(('t11'!C14+'t11'!D14)/$D12)," ")</f>
        <v> </v>
      </c>
      <c r="G12" s="552" t="str">
        <f>IF($D12&gt;0,(SUM('t11'!E14:N14)/$D12)," ")</f>
        <v> </v>
      </c>
      <c r="H12" s="552" t="str">
        <f>IF($D12&gt;0,(SUM('t11'!O14:R14)/$D12)," ")</f>
        <v> </v>
      </c>
      <c r="I12" s="553" t="str">
        <f>IF($E12=0," ",('t12'!D12+'t12'!E12)/$E12)</f>
        <v> </v>
      </c>
      <c r="J12" s="553" t="str">
        <f>IF($E12=0," ",'t12'!F12/$E12)</f>
        <v> </v>
      </c>
      <c r="K12" s="553" t="str">
        <f>IF($E12=0," ",'t12'!G12/$E12)</f>
        <v> </v>
      </c>
      <c r="L12" s="553" t="str">
        <f>IF($E12=0," ",'t12'!H12/$E12)</f>
        <v> </v>
      </c>
      <c r="M12" s="554">
        <f t="shared" si="0"/>
        <v>0</v>
      </c>
      <c r="N12" s="555" t="str">
        <f>IF($E12=0," ",'t12'!I12/$E12)</f>
        <v> </v>
      </c>
      <c r="O12" s="555" t="str">
        <f>IF($E12=0," ",'t12'!J12/$E12)</f>
        <v> </v>
      </c>
      <c r="P12" s="553" t="str">
        <f>IF($E12=0," ",'t13'!#REF!/$E12)</f>
        <v> </v>
      </c>
      <c r="Q12" s="553" t="str">
        <f>IF($E12=0," ",SUM('t13'!#REF!)/$E12)</f>
        <v> </v>
      </c>
      <c r="R12" s="553" t="str">
        <f>IF($E12=0," ",(SUM('t13'!#REF!)+'t13'!#REF!)/$E12)</f>
        <v> </v>
      </c>
      <c r="S12" s="554">
        <f t="shared" si="1"/>
        <v>0</v>
      </c>
    </row>
    <row r="13" spans="1:19" ht="11.25">
      <c r="A13" s="131" t="str">
        <f>'t1'!A13</f>
        <v>MAGISTRATI ORDINARI</v>
      </c>
      <c r="B13" s="311" t="str">
        <f>'t1'!B13</f>
        <v>0D0MT8</v>
      </c>
      <c r="C13" s="551">
        <f>'t1'!K13+'t1'!L13</f>
        <v>0</v>
      </c>
      <c r="D13" s="551">
        <f>('t1'!K13+'t1'!L13)-SUM('t3'!C13:F13,'t3'!I13:L13)+SUM('t3'!M13:P13)</f>
        <v>0</v>
      </c>
      <c r="E13" s="552">
        <f>'t12'!C13/12</f>
        <v>0</v>
      </c>
      <c r="F13" s="552" t="str">
        <f>IF($D13&gt;0,(('t11'!C15+'t11'!D15)/$D13)," ")</f>
        <v> </v>
      </c>
      <c r="G13" s="552" t="str">
        <f>IF($D13&gt;0,(SUM('t11'!E15:N15)/$D13)," ")</f>
        <v> </v>
      </c>
      <c r="H13" s="552" t="str">
        <f>IF($D13&gt;0,(SUM('t11'!O15:R15)/$D13)," ")</f>
        <v> </v>
      </c>
      <c r="I13" s="553" t="str">
        <f>IF($E13=0," ",('t12'!D13+'t12'!E13)/$E13)</f>
        <v> </v>
      </c>
      <c r="J13" s="553" t="str">
        <f>IF($E13=0," ",'t12'!F13/$E13)</f>
        <v> </v>
      </c>
      <c r="K13" s="553" t="str">
        <f>IF($E13=0," ",'t12'!G13/$E13)</f>
        <v> </v>
      </c>
      <c r="L13" s="553" t="str">
        <f>IF($E13=0," ",'t12'!H13/$E13)</f>
        <v> </v>
      </c>
      <c r="M13" s="554">
        <f t="shared" si="0"/>
        <v>0</v>
      </c>
      <c r="N13" s="555" t="str">
        <f>IF($E13=0," ",'t12'!I13/$E13)</f>
        <v> </v>
      </c>
      <c r="O13" s="555" t="str">
        <f>IF($E13=0," ",'t12'!J13/$E13)</f>
        <v> </v>
      </c>
      <c r="P13" s="553" t="str">
        <f>IF($E13=0," ",'t13'!#REF!/$E13)</f>
        <v> </v>
      </c>
      <c r="Q13" s="553" t="str">
        <f>IF($E13=0," ",SUM('t13'!#REF!)/$E13)</f>
        <v> </v>
      </c>
      <c r="R13" s="553" t="str">
        <f>IF($E13=0," ",(SUM('t13'!#REF!)+'t13'!#REF!)/$E13)</f>
        <v> </v>
      </c>
      <c r="S13" s="554">
        <f t="shared" si="1"/>
        <v>0</v>
      </c>
    </row>
    <row r="14" spans="1:19" ht="11.25">
      <c r="A14" s="131" t="str">
        <f>'t1'!A14</f>
        <v>MAGISTRATI ORDINARI IN TIROCINIO</v>
      </c>
      <c r="B14" s="311" t="str">
        <f>'t1'!B14</f>
        <v>0D0MT9</v>
      </c>
      <c r="C14" s="551">
        <f>'t1'!K14+'t1'!L14</f>
        <v>0</v>
      </c>
      <c r="D14" s="551">
        <f>('t1'!K14+'t1'!L14)-SUM('t3'!C14:F14,'t3'!I14:L14)+SUM('t3'!M14:P14)</f>
        <v>0</v>
      </c>
      <c r="E14" s="552">
        <f>'t12'!C14/12</f>
        <v>0</v>
      </c>
      <c r="F14" s="552" t="str">
        <f>IF($D14&gt;0,(('t11'!C16+'t11'!D16)/$D14)," ")</f>
        <v> </v>
      </c>
      <c r="G14" s="552" t="str">
        <f>IF($D14&gt;0,(SUM('t11'!E16:N16)/$D14)," ")</f>
        <v> </v>
      </c>
      <c r="H14" s="552" t="str">
        <f>IF($D14&gt;0,(SUM('t11'!O16:R16)/$D14)," ")</f>
        <v> </v>
      </c>
      <c r="I14" s="553" t="str">
        <f>IF($E14=0," ",('t12'!D14+'t12'!E14)/$E14)</f>
        <v> </v>
      </c>
      <c r="J14" s="553" t="str">
        <f>IF($E14=0," ",'t12'!F14/$E14)</f>
        <v> </v>
      </c>
      <c r="K14" s="553" t="str">
        <f>IF($E14=0," ",'t12'!G14/$E14)</f>
        <v> </v>
      </c>
      <c r="L14" s="553" t="str">
        <f>IF($E14=0," ",'t12'!H14/$E14)</f>
        <v> </v>
      </c>
      <c r="M14" s="554">
        <f t="shared" si="0"/>
        <v>0</v>
      </c>
      <c r="N14" s="555" t="str">
        <f>IF($E14=0," ",'t12'!I14/$E14)</f>
        <v> </v>
      </c>
      <c r="O14" s="555" t="str">
        <f>IF($E14=0," ",'t12'!J14/$E14)</f>
        <v> </v>
      </c>
      <c r="P14" s="553" t="str">
        <f>IF($E14=0," ",'t13'!#REF!/$E14)</f>
        <v> </v>
      </c>
      <c r="Q14" s="553" t="str">
        <f>IF($E14=0," ",SUM('t13'!#REF!)/$E14)</f>
        <v> </v>
      </c>
      <c r="R14" s="553" t="str">
        <f>IF($E14=0," ",(SUM('t13'!#REF!)+'t13'!#REF!)/$E14)</f>
        <v> </v>
      </c>
      <c r="S14" s="554">
        <f t="shared" si="1"/>
        <v>0</v>
      </c>
    </row>
    <row r="16" ht="11.25">
      <c r="A16"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17" ht="11.25">
      <c r="A17" s="5" t="s">
        <v>385</v>
      </c>
    </row>
  </sheetData>
  <sheetProtection password="EA98" sheet="1" formatColumns="0" selectLockedCells="1" selectUnlockedCells="1"/>
  <mergeCells count="4">
    <mergeCell ref="A1:I1"/>
    <mergeCell ref="F4:H4"/>
    <mergeCell ref="I4:O4"/>
    <mergeCell ref="P4:S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7.xml><?xml version="1.0" encoding="utf-8"?>
<worksheet xmlns="http://schemas.openxmlformats.org/spreadsheetml/2006/main" xmlns:r="http://schemas.openxmlformats.org/officeDocument/2006/relationships">
  <sheetPr codeName="Foglio22"/>
  <dimension ref="A1:T38"/>
  <sheetViews>
    <sheetView showGridLines="0" zoomScalePageLayoutView="0" workbookViewId="0" topLeftCell="A1">
      <pane ySplit="5" topLeftCell="A6" activePane="bottomLeft" state="frozen"/>
      <selection pane="topLeft" activeCell="A2" sqref="A2"/>
      <selection pane="bottomLeft" activeCell="C2" sqref="C2"/>
    </sheetView>
  </sheetViews>
  <sheetFormatPr defaultColWidth="9.33203125" defaultRowHeight="10.5"/>
  <cols>
    <col min="1" max="1" width="60.660156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03" t="str">
        <f>'t1'!A1</f>
        <v>MAGISTRATURA ORDINARIA - anno 2019</v>
      </c>
      <c r="B1" s="903"/>
      <c r="C1" s="903"/>
      <c r="D1" s="903"/>
      <c r="E1" s="903"/>
      <c r="F1" s="903"/>
      <c r="G1" s="903"/>
      <c r="H1" s="903"/>
      <c r="I1" s="308"/>
      <c r="J1" s="305"/>
      <c r="K1" s="3"/>
      <c r="M1"/>
    </row>
    <row r="2" spans="2:13" ht="12.75" customHeight="1">
      <c r="B2" s="5"/>
      <c r="C2" s="5"/>
      <c r="D2" s="976"/>
      <c r="E2" s="976"/>
      <c r="F2" s="976"/>
      <c r="G2" s="976"/>
      <c r="H2" s="976"/>
      <c r="I2" s="976"/>
      <c r="J2" s="976"/>
      <c r="K2" s="3"/>
      <c r="M2"/>
    </row>
    <row r="3" spans="1:2" s="190" customFormat="1" ht="21" customHeight="1">
      <c r="A3" s="190" t="str">
        <f>"Tavola di coerenza tra presenti al 31.12."&amp;'t1'!L1&amp;" e presenti al 31.12."&amp;'t1'!L1-1&amp;" (Squadratura 1)"</f>
        <v>Tavola di coerenza tra presenti al 31.12.2019 e presenti al 31.12.2018 (Squadratura 1)</v>
      </c>
      <c r="B3" s="307"/>
    </row>
    <row r="4" spans="1:10" ht="36.75" customHeight="1">
      <c r="A4" s="172" t="s">
        <v>173</v>
      </c>
      <c r="B4" s="173" t="s">
        <v>172</v>
      </c>
      <c r="C4" s="173" t="str">
        <f>"Presenti 31.12."&amp;'t1'!L1-1&amp;" (Tab 1)"</f>
        <v>Presenti 31.12.2018 (Tab 1)</v>
      </c>
      <c r="D4" s="173" t="s">
        <v>168</v>
      </c>
      <c r="E4" s="173" t="s">
        <v>220</v>
      </c>
      <c r="F4" s="173" t="s">
        <v>170</v>
      </c>
      <c r="G4" s="173" t="s">
        <v>169</v>
      </c>
      <c r="H4" s="173" t="str">
        <f>"Presenti 31.12."&amp;'t1'!L1&amp;" (Calcolati)"</f>
        <v>Presenti 31.12.2019 (Calcolati)</v>
      </c>
      <c r="I4" s="173" t="str">
        <f>"Presenti 31.12."&amp;'t1'!L1&amp;" (Tab 1)"</f>
        <v>Presenti 31.12.2019 (Tab 1)</v>
      </c>
      <c r="J4" s="173" t="s">
        <v>182</v>
      </c>
    </row>
    <row r="5" spans="1:10" ht="11.25">
      <c r="A5" s="641"/>
      <c r="B5" s="173"/>
      <c r="C5" s="179" t="s">
        <v>174</v>
      </c>
      <c r="D5" s="179" t="s">
        <v>175</v>
      </c>
      <c r="E5" s="179" t="s">
        <v>176</v>
      </c>
      <c r="F5" s="179" t="s">
        <v>177</v>
      </c>
      <c r="G5" s="179" t="s">
        <v>178</v>
      </c>
      <c r="H5" s="179" t="s">
        <v>179</v>
      </c>
      <c r="I5" s="179" t="s">
        <v>180</v>
      </c>
      <c r="J5" s="179" t="s">
        <v>181</v>
      </c>
    </row>
    <row r="6" spans="1:10" ht="12.75" customHeight="1">
      <c r="A6" s="642" t="str">
        <f>'t1'!A6</f>
        <v>MAGIST.  CON FUNZ. DIRETT. APICALI GIUDICANTI DI LEGITTIMITÀ</v>
      </c>
      <c r="B6" s="180" t="str">
        <f>'t1'!B6</f>
        <v>0D0MT1</v>
      </c>
      <c r="C6" s="332">
        <f>'t1'!C6+'t1'!D6</f>
        <v>0</v>
      </c>
      <c r="D6" s="332">
        <f>'t5'!S7+'t5'!T7</f>
        <v>0</v>
      </c>
      <c r="E6" s="333">
        <f>'t6'!U7+'t6'!V7</f>
        <v>0</v>
      </c>
      <c r="F6" s="333">
        <f>'t4'!L6</f>
        <v>0</v>
      </c>
      <c r="G6" s="333">
        <f>'t4'!C15</f>
        <v>0</v>
      </c>
      <c r="H6" s="333">
        <f>C6-D6+E6-F6+G6</f>
        <v>0</v>
      </c>
      <c r="I6" s="333">
        <f>'t1'!K6+'t1'!L6</f>
        <v>0</v>
      </c>
      <c r="J6" s="99" t="str">
        <f aca="true" t="shared" si="0" ref="J6:J14">IF(H6=I6,"OK","ERRORE")</f>
        <v>OK</v>
      </c>
    </row>
    <row r="7" spans="1:10" ht="12.75" customHeight="1">
      <c r="A7" s="642" t="str">
        <f>'t1'!A7</f>
        <v>MAGIST. CON FUNZ. DIRETT. APICALI REQUIRENTI DI LEGITTIMITÀ</v>
      </c>
      <c r="B7" s="180" t="str">
        <f>'t1'!B7</f>
        <v>0D0MT2</v>
      </c>
      <c r="C7" s="332">
        <f>'t1'!C7+'t1'!D7</f>
        <v>0</v>
      </c>
      <c r="D7" s="332">
        <f>'t5'!S8+'t5'!T8</f>
        <v>0</v>
      </c>
      <c r="E7" s="333">
        <f>'t6'!U8+'t6'!V8</f>
        <v>0</v>
      </c>
      <c r="F7" s="333">
        <f>'t4'!L7</f>
        <v>0</v>
      </c>
      <c r="G7" s="333">
        <f>'t4'!D15</f>
        <v>0</v>
      </c>
      <c r="H7" s="333">
        <f aca="true" t="shared" si="1" ref="H7:H14">C7-D7+E7-F7+G7</f>
        <v>0</v>
      </c>
      <c r="I7" s="333">
        <f>'t1'!K7+'t1'!L7</f>
        <v>0</v>
      </c>
      <c r="J7" s="99" t="str">
        <f t="shared" si="0"/>
        <v>OK</v>
      </c>
    </row>
    <row r="8" spans="1:10" ht="12.75" customHeight="1">
      <c r="A8" s="642" t="str">
        <f>'t1'!A8</f>
        <v>MAGISTRATI CON FUNZIONI DIRETTIVE SUPERIORI DI LEGITTIMITÀ</v>
      </c>
      <c r="B8" s="180" t="str">
        <f>'t1'!B8</f>
        <v>0D0MT3</v>
      </c>
      <c r="C8" s="332">
        <f>'t1'!C8+'t1'!D8</f>
        <v>0</v>
      </c>
      <c r="D8" s="332">
        <f>'t5'!S9+'t5'!T9</f>
        <v>0</v>
      </c>
      <c r="E8" s="333">
        <f>'t6'!U9+'t6'!V9</f>
        <v>0</v>
      </c>
      <c r="F8" s="333">
        <f>'t4'!L8</f>
        <v>0</v>
      </c>
      <c r="G8" s="333">
        <f>'t4'!E15</f>
        <v>0</v>
      </c>
      <c r="H8" s="333">
        <f t="shared" si="1"/>
        <v>0</v>
      </c>
      <c r="I8" s="333">
        <f>'t1'!K8+'t1'!L8</f>
        <v>0</v>
      </c>
      <c r="J8" s="99" t="str">
        <f t="shared" si="0"/>
        <v>OK</v>
      </c>
    </row>
    <row r="9" spans="1:10" ht="12.75" customHeight="1">
      <c r="A9" s="642" t="str">
        <f>'t1'!A9</f>
        <v>MAGISTRATI ORDINARI VII VALUT. PROF.</v>
      </c>
      <c r="B9" s="180" t="str">
        <f>'t1'!B9</f>
        <v>0D0MT4</v>
      </c>
      <c r="C9" s="332">
        <f>'t1'!C9+'t1'!D9</f>
        <v>0</v>
      </c>
      <c r="D9" s="332">
        <f>'t5'!S10+'t5'!T10</f>
        <v>0</v>
      </c>
      <c r="E9" s="333">
        <f>'t6'!U10+'t6'!V10</f>
        <v>0</v>
      </c>
      <c r="F9" s="333">
        <f>'t4'!L9</f>
        <v>0</v>
      </c>
      <c r="G9" s="333">
        <f>'t4'!F15</f>
        <v>0</v>
      </c>
      <c r="H9" s="333">
        <f t="shared" si="1"/>
        <v>0</v>
      </c>
      <c r="I9" s="333">
        <f>'t1'!K9+'t1'!L9</f>
        <v>0</v>
      </c>
      <c r="J9" s="99" t="str">
        <f t="shared" si="0"/>
        <v>OK</v>
      </c>
    </row>
    <row r="10" spans="1:10" ht="12.75" customHeight="1">
      <c r="A10" s="642" t="str">
        <f>'t1'!A10</f>
        <v>MAGISTRATI ORDINARI V VALUT. PROF.</v>
      </c>
      <c r="B10" s="180" t="str">
        <f>'t1'!B10</f>
        <v>0D0MT5</v>
      </c>
      <c r="C10" s="332">
        <f>'t1'!C10+'t1'!D10</f>
        <v>0</v>
      </c>
      <c r="D10" s="332">
        <f>'t5'!S11+'t5'!T11</f>
        <v>0</v>
      </c>
      <c r="E10" s="333">
        <f>'t6'!U11+'t6'!V11</f>
        <v>0</v>
      </c>
      <c r="F10" s="333">
        <f>'t4'!L10</f>
        <v>0</v>
      </c>
      <c r="G10" s="333">
        <f>'t4'!G15</f>
        <v>0</v>
      </c>
      <c r="H10" s="333">
        <f t="shared" si="1"/>
        <v>0</v>
      </c>
      <c r="I10" s="333">
        <f>'t1'!K10+'t1'!L10</f>
        <v>0</v>
      </c>
      <c r="J10" s="99" t="str">
        <f t="shared" si="0"/>
        <v>OK</v>
      </c>
    </row>
    <row r="11" spans="1:10" ht="12.75" customHeight="1">
      <c r="A11" s="642" t="str">
        <f>'t1'!A11</f>
        <v>MAGISTRATI ORDINARI DOPO 1 ANNO DALLA III VALUT. PROF.</v>
      </c>
      <c r="B11" s="180" t="str">
        <f>'t1'!B11</f>
        <v>0D0MT6</v>
      </c>
      <c r="C11" s="332">
        <f>'t1'!C11+'t1'!D11</f>
        <v>0</v>
      </c>
      <c r="D11" s="332">
        <f>'t5'!S12+'t5'!T12</f>
        <v>0</v>
      </c>
      <c r="E11" s="333">
        <f>'t6'!U12+'t6'!V12</f>
        <v>0</v>
      </c>
      <c r="F11" s="333">
        <f>'t4'!L11</f>
        <v>0</v>
      </c>
      <c r="G11" s="333">
        <f>'t4'!H15</f>
        <v>0</v>
      </c>
      <c r="H11" s="333">
        <f t="shared" si="1"/>
        <v>0</v>
      </c>
      <c r="I11" s="333">
        <f>'t1'!K11+'t1'!L11</f>
        <v>0</v>
      </c>
      <c r="J11" s="99" t="str">
        <f t="shared" si="0"/>
        <v>OK</v>
      </c>
    </row>
    <row r="12" spans="1:10" ht="12.75" customHeight="1">
      <c r="A12" s="642" t="str">
        <f>'t1'!A12</f>
        <v>MAGISTRATI ORDINARI  I  VALUT. PROF.</v>
      </c>
      <c r="B12" s="180" t="str">
        <f>'t1'!B12</f>
        <v>0D0MT7</v>
      </c>
      <c r="C12" s="332">
        <f>'t1'!C12+'t1'!D12</f>
        <v>0</v>
      </c>
      <c r="D12" s="332">
        <f>'t5'!S13+'t5'!T13</f>
        <v>0</v>
      </c>
      <c r="E12" s="333">
        <f>'t6'!U13+'t6'!V13</f>
        <v>0</v>
      </c>
      <c r="F12" s="333">
        <f>'t4'!L12</f>
        <v>0</v>
      </c>
      <c r="G12" s="333">
        <f>'t4'!I15</f>
        <v>0</v>
      </c>
      <c r="H12" s="333">
        <f t="shared" si="1"/>
        <v>0</v>
      </c>
      <c r="I12" s="333">
        <f>'t1'!K12+'t1'!L12</f>
        <v>0</v>
      </c>
      <c r="J12" s="99" t="str">
        <f t="shared" si="0"/>
        <v>OK</v>
      </c>
    </row>
    <row r="13" spans="1:10" ht="12.75" customHeight="1">
      <c r="A13" s="642" t="str">
        <f>'t1'!A13</f>
        <v>MAGISTRATI ORDINARI</v>
      </c>
      <c r="B13" s="180" t="str">
        <f>'t1'!B13</f>
        <v>0D0MT8</v>
      </c>
      <c r="C13" s="332">
        <f>'t1'!C13+'t1'!D13</f>
        <v>0</v>
      </c>
      <c r="D13" s="332">
        <f>'t5'!S14+'t5'!T14</f>
        <v>0</v>
      </c>
      <c r="E13" s="333">
        <f>'t6'!U14+'t6'!V14</f>
        <v>0</v>
      </c>
      <c r="F13" s="333">
        <f>'t4'!L13</f>
        <v>0</v>
      </c>
      <c r="G13" s="333">
        <f>'t4'!J15</f>
        <v>0</v>
      </c>
      <c r="H13" s="333">
        <f t="shared" si="1"/>
        <v>0</v>
      </c>
      <c r="I13" s="333">
        <f>'t1'!K13+'t1'!L13</f>
        <v>0</v>
      </c>
      <c r="J13" s="99" t="str">
        <f t="shared" si="0"/>
        <v>OK</v>
      </c>
    </row>
    <row r="14" spans="1:10" ht="12.75" customHeight="1">
      <c r="A14" s="642" t="str">
        <f>'t1'!A14</f>
        <v>MAGISTRATI ORDINARI IN TIROCINIO</v>
      </c>
      <c r="B14" s="180" t="str">
        <f>'t1'!B14</f>
        <v>0D0MT9</v>
      </c>
      <c r="C14" s="332">
        <f>'t1'!C14+'t1'!D14</f>
        <v>0</v>
      </c>
      <c r="D14" s="332">
        <f>'t5'!S15+'t5'!T15</f>
        <v>0</v>
      </c>
      <c r="E14" s="333">
        <f>'t6'!U15+'t6'!V15</f>
        <v>0</v>
      </c>
      <c r="F14" s="333">
        <f>'t4'!L14</f>
        <v>0</v>
      </c>
      <c r="G14" s="333">
        <f>'t4'!K15</f>
        <v>0</v>
      </c>
      <c r="H14" s="333">
        <f t="shared" si="1"/>
        <v>0</v>
      </c>
      <c r="I14" s="333">
        <f>'t1'!K14+'t1'!L14</f>
        <v>0</v>
      </c>
      <c r="J14" s="99" t="str">
        <f t="shared" si="0"/>
        <v>OK</v>
      </c>
    </row>
    <row r="15" spans="1:10" s="339" customFormat="1" ht="15.75" customHeight="1">
      <c r="A15" s="643" t="str">
        <f>'t1'!A15</f>
        <v>TOTALE</v>
      </c>
      <c r="B15" s="200"/>
      <c r="C15" s="356">
        <f aca="true" t="shared" si="2" ref="C15:I15">SUM(C6:C14)</f>
        <v>0</v>
      </c>
      <c r="D15" s="356">
        <f t="shared" si="2"/>
        <v>0</v>
      </c>
      <c r="E15" s="356">
        <f t="shared" si="2"/>
        <v>0</v>
      </c>
      <c r="F15" s="356">
        <f t="shared" si="2"/>
        <v>0</v>
      </c>
      <c r="G15" s="356">
        <f t="shared" si="2"/>
        <v>0</v>
      </c>
      <c r="H15" s="356">
        <f t="shared" si="2"/>
        <v>0</v>
      </c>
      <c r="I15" s="356">
        <f t="shared" si="2"/>
        <v>0</v>
      </c>
      <c r="J15" s="357" t="str">
        <f>IF(H15=I15,"OK","ERRORE")</f>
        <v>OK</v>
      </c>
    </row>
    <row r="20" spans="6:20" ht="11.25">
      <c r="F20" s="353"/>
      <c r="G20" s="353"/>
      <c r="H20" s="353"/>
      <c r="I20" s="353"/>
      <c r="J20" s="353"/>
      <c r="K20" s="354"/>
      <c r="L20" s="354"/>
      <c r="M20" s="354"/>
      <c r="N20" s="354"/>
      <c r="O20" s="354"/>
      <c r="P20" s="354"/>
      <c r="Q20" s="354"/>
      <c r="R20" s="354"/>
      <c r="S20" s="354"/>
      <c r="T20" s="354"/>
    </row>
    <row r="24" ht="11.25">
      <c r="G24" s="353"/>
    </row>
    <row r="25" ht="11.25">
      <c r="G25" s="353"/>
    </row>
    <row r="26" ht="11.25">
      <c r="G26" s="353"/>
    </row>
    <row r="27" ht="11.25">
      <c r="G27" s="353"/>
    </row>
    <row r="28" ht="11.25">
      <c r="G28" s="353"/>
    </row>
    <row r="29" ht="11.25">
      <c r="G29" s="354"/>
    </row>
    <row r="30" ht="11.25">
      <c r="G30" s="354"/>
    </row>
    <row r="31" ht="11.25">
      <c r="G31" s="354"/>
    </row>
    <row r="32" ht="11.25">
      <c r="G32" s="354"/>
    </row>
    <row r="33" ht="11.25">
      <c r="G33" s="354"/>
    </row>
    <row r="34" ht="11.25">
      <c r="G34" s="354"/>
    </row>
    <row r="35" ht="11.25">
      <c r="G35" s="354"/>
    </row>
    <row r="36" ht="11.25">
      <c r="G36" s="354"/>
    </row>
    <row r="37" ht="11.25">
      <c r="G37" s="354"/>
    </row>
    <row r="38" ht="11.25">
      <c r="G38" s="354"/>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8.xml><?xml version="1.0" encoding="utf-8"?>
<worksheet xmlns="http://schemas.openxmlformats.org/spreadsheetml/2006/main" xmlns:r="http://schemas.openxmlformats.org/officeDocument/2006/relationships">
  <sheetPr codeName="Foglio23"/>
  <dimension ref="A1:M16"/>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D2" sqref="D2"/>
    </sheetView>
  </sheetViews>
  <sheetFormatPr defaultColWidth="9.33203125" defaultRowHeight="10.5"/>
  <cols>
    <col min="1" max="1" width="60.660156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03" t="str">
        <f>'t1'!A1</f>
        <v>MAGISTRATURA ORDINARIA - anno 2019</v>
      </c>
      <c r="B1" s="903"/>
      <c r="C1" s="903"/>
      <c r="D1" s="903"/>
      <c r="E1" s="903"/>
      <c r="F1" s="903"/>
      <c r="G1" s="903"/>
      <c r="H1" s="903"/>
      <c r="I1" s="903"/>
      <c r="J1" s="903"/>
      <c r="K1" s="3"/>
      <c r="L1" s="305"/>
      <c r="M1"/>
    </row>
    <row r="2" spans="2:13" ht="12.75" customHeight="1">
      <c r="B2" s="5"/>
      <c r="C2" s="5"/>
      <c r="D2" s="5"/>
      <c r="E2" s="976"/>
      <c r="F2" s="976"/>
      <c r="G2" s="976"/>
      <c r="H2" s="976"/>
      <c r="I2" s="976"/>
      <c r="J2" s="976"/>
      <c r="K2" s="976"/>
      <c r="L2" s="976"/>
      <c r="M2"/>
    </row>
    <row r="3" spans="1:11" ht="21" customHeight="1">
      <c r="A3" s="190"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98" customFormat="1" ht="11.25" customHeight="1">
      <c r="A4" s="182"/>
      <c r="B4" s="182"/>
      <c r="C4" s="977" t="s">
        <v>232</v>
      </c>
      <c r="D4" s="978"/>
      <c r="E4" s="978"/>
      <c r="F4" s="978"/>
      <c r="G4" s="979"/>
      <c r="H4" s="977" t="s">
        <v>233</v>
      </c>
      <c r="I4" s="978"/>
      <c r="J4" s="978"/>
      <c r="K4" s="978"/>
      <c r="L4" s="979"/>
    </row>
    <row r="5" spans="1:12" ht="70.5" customHeight="1">
      <c r="A5" s="173" t="s">
        <v>173</v>
      </c>
      <c r="B5" s="173" t="s">
        <v>172</v>
      </c>
      <c r="C5" s="181" t="str">
        <f>"Presenti 31.12."&amp;'t1'!L1&amp;" (Tab 1)"</f>
        <v>Presenti 31.12.2019 (Tab 1)</v>
      </c>
      <c r="D5" s="178" t="s">
        <v>183</v>
      </c>
      <c r="E5" s="178" t="s">
        <v>184</v>
      </c>
      <c r="F5" s="178" t="s">
        <v>10</v>
      </c>
      <c r="G5" s="178" t="s">
        <v>182</v>
      </c>
      <c r="H5" s="181" t="str">
        <f>"Presenti 31.12."&amp;'t1'!L1&amp;" (Tab 1)"</f>
        <v>Presenti 31.12.2019 (Tab 1)</v>
      </c>
      <c r="I5" s="178" t="s">
        <v>183</v>
      </c>
      <c r="J5" s="178" t="s">
        <v>184</v>
      </c>
      <c r="K5" s="178" t="s">
        <v>10</v>
      </c>
      <c r="L5" s="178" t="s">
        <v>182</v>
      </c>
    </row>
    <row r="6" spans="1:12" ht="11.25">
      <c r="A6" s="174"/>
      <c r="B6" s="174"/>
      <c r="C6" s="183" t="s">
        <v>174</v>
      </c>
      <c r="D6" s="183" t="s">
        <v>175</v>
      </c>
      <c r="E6" s="183" t="s">
        <v>176</v>
      </c>
      <c r="F6" s="183" t="s">
        <v>177</v>
      </c>
      <c r="G6" s="184" t="s">
        <v>200</v>
      </c>
      <c r="H6" s="183" t="s">
        <v>178</v>
      </c>
      <c r="I6" s="183" t="s">
        <v>198</v>
      </c>
      <c r="J6" s="183" t="s">
        <v>180</v>
      </c>
      <c r="K6" s="183" t="s">
        <v>188</v>
      </c>
      <c r="L6" s="184" t="s">
        <v>201</v>
      </c>
    </row>
    <row r="7" spans="1:12" ht="12.75" customHeight="1">
      <c r="A7" s="131" t="str">
        <f>'t1'!A6</f>
        <v>MAGIST.  CON FUNZ. DIRETT. APICALI GIUDICANTI DI LEGITTIMITÀ</v>
      </c>
      <c r="B7" s="180" t="str">
        <f>'t1'!B6</f>
        <v>0D0MT1</v>
      </c>
      <c r="C7" s="332">
        <f>'t1'!K6</f>
        <v>0</v>
      </c>
      <c r="D7" s="332">
        <f>'t7'!W6</f>
        <v>0</v>
      </c>
      <c r="E7" s="333">
        <f>'t8'!AA6</f>
        <v>0</v>
      </c>
      <c r="F7" s="333">
        <f>'t9'!O6</f>
        <v>0</v>
      </c>
      <c r="G7" s="99" t="str">
        <f aca="true" t="shared" si="0" ref="G7:G15">IF(COUNTIF(C7:F7,C7)=4,"OK","ERRORE")</f>
        <v>OK</v>
      </c>
      <c r="H7" s="333">
        <f>'t1'!L6</f>
        <v>0</v>
      </c>
      <c r="I7" s="333">
        <f>'t7'!X6</f>
        <v>0</v>
      </c>
      <c r="J7" s="333">
        <f>'t8'!AB6</f>
        <v>0</v>
      </c>
      <c r="K7" s="332">
        <f>'t9'!P6</f>
        <v>0</v>
      </c>
      <c r="L7" s="99" t="str">
        <f aca="true" t="shared" si="1" ref="L7:L15">IF(COUNTIF(H7:K7,H7)=4,"OK","ERRORE")</f>
        <v>OK</v>
      </c>
    </row>
    <row r="8" spans="1:12" ht="12.75" customHeight="1">
      <c r="A8" s="131" t="str">
        <f>'t1'!A7</f>
        <v>MAGIST. CON FUNZ. DIRETT. APICALI REQUIRENTI DI LEGITTIMITÀ</v>
      </c>
      <c r="B8" s="180" t="str">
        <f>'t1'!B7</f>
        <v>0D0MT2</v>
      </c>
      <c r="C8" s="332">
        <f>'t1'!K7</f>
        <v>0</v>
      </c>
      <c r="D8" s="332">
        <f>'t7'!W7</f>
        <v>0</v>
      </c>
      <c r="E8" s="333">
        <f>'t8'!AA7</f>
        <v>0</v>
      </c>
      <c r="F8" s="333">
        <f>'t9'!O7</f>
        <v>0</v>
      </c>
      <c r="G8" s="99" t="str">
        <f t="shared" si="0"/>
        <v>OK</v>
      </c>
      <c r="H8" s="333">
        <f>'t1'!L7</f>
        <v>0</v>
      </c>
      <c r="I8" s="333">
        <f>'t7'!X7</f>
        <v>0</v>
      </c>
      <c r="J8" s="333">
        <f>'t8'!AB7</f>
        <v>0</v>
      </c>
      <c r="K8" s="332">
        <f>'t9'!P7</f>
        <v>0</v>
      </c>
      <c r="L8" s="99" t="str">
        <f t="shared" si="1"/>
        <v>OK</v>
      </c>
    </row>
    <row r="9" spans="1:12" ht="12.75" customHeight="1">
      <c r="A9" s="131" t="str">
        <f>'t1'!A8</f>
        <v>MAGISTRATI CON FUNZIONI DIRETTIVE SUPERIORI DI LEGITTIMITÀ</v>
      </c>
      <c r="B9" s="180" t="str">
        <f>'t1'!B8</f>
        <v>0D0MT3</v>
      </c>
      <c r="C9" s="332">
        <f>'t1'!K8</f>
        <v>0</v>
      </c>
      <c r="D9" s="332">
        <f>'t7'!W8</f>
        <v>0</v>
      </c>
      <c r="E9" s="333">
        <f>'t8'!AA8</f>
        <v>0</v>
      </c>
      <c r="F9" s="333">
        <f>'t9'!O8</f>
        <v>0</v>
      </c>
      <c r="G9" s="99" t="str">
        <f t="shared" si="0"/>
        <v>OK</v>
      </c>
      <c r="H9" s="333">
        <f>'t1'!L8</f>
        <v>0</v>
      </c>
      <c r="I9" s="333">
        <f>'t7'!X8</f>
        <v>0</v>
      </c>
      <c r="J9" s="333">
        <f>'t8'!AB8</f>
        <v>0</v>
      </c>
      <c r="K9" s="332">
        <f>'t9'!P8</f>
        <v>0</v>
      </c>
      <c r="L9" s="99" t="str">
        <f t="shared" si="1"/>
        <v>OK</v>
      </c>
    </row>
    <row r="10" spans="1:12" ht="12.75" customHeight="1">
      <c r="A10" s="131" t="str">
        <f>'t1'!A9</f>
        <v>MAGISTRATI ORDINARI VII VALUT. PROF.</v>
      </c>
      <c r="B10" s="180" t="str">
        <f>'t1'!B9</f>
        <v>0D0MT4</v>
      </c>
      <c r="C10" s="332">
        <f>'t1'!K9</f>
        <v>0</v>
      </c>
      <c r="D10" s="332">
        <f>'t7'!W9</f>
        <v>0</v>
      </c>
      <c r="E10" s="333">
        <f>'t8'!AA9</f>
        <v>0</v>
      </c>
      <c r="F10" s="333">
        <f>'t9'!O9</f>
        <v>0</v>
      </c>
      <c r="G10" s="99" t="str">
        <f t="shared" si="0"/>
        <v>OK</v>
      </c>
      <c r="H10" s="333">
        <f>'t1'!L9</f>
        <v>0</v>
      </c>
      <c r="I10" s="333">
        <f>'t7'!X9</f>
        <v>0</v>
      </c>
      <c r="J10" s="333">
        <f>'t8'!AB9</f>
        <v>0</v>
      </c>
      <c r="K10" s="332">
        <f>'t9'!P9</f>
        <v>0</v>
      </c>
      <c r="L10" s="99" t="str">
        <f t="shared" si="1"/>
        <v>OK</v>
      </c>
    </row>
    <row r="11" spans="1:12" ht="12.75" customHeight="1">
      <c r="A11" s="131" t="str">
        <f>'t1'!A10</f>
        <v>MAGISTRATI ORDINARI V VALUT. PROF.</v>
      </c>
      <c r="B11" s="180" t="str">
        <f>'t1'!B10</f>
        <v>0D0MT5</v>
      </c>
      <c r="C11" s="332">
        <f>'t1'!K10</f>
        <v>0</v>
      </c>
      <c r="D11" s="332">
        <f>'t7'!W10</f>
        <v>0</v>
      </c>
      <c r="E11" s="333">
        <f>'t8'!AA10</f>
        <v>0</v>
      </c>
      <c r="F11" s="333">
        <f>'t9'!O10</f>
        <v>0</v>
      </c>
      <c r="G11" s="99" t="str">
        <f t="shared" si="0"/>
        <v>OK</v>
      </c>
      <c r="H11" s="333">
        <f>'t1'!L10</f>
        <v>0</v>
      </c>
      <c r="I11" s="333">
        <f>'t7'!X10</f>
        <v>0</v>
      </c>
      <c r="J11" s="333">
        <f>'t8'!AB10</f>
        <v>0</v>
      </c>
      <c r="K11" s="332">
        <f>'t9'!P10</f>
        <v>0</v>
      </c>
      <c r="L11" s="99" t="str">
        <f t="shared" si="1"/>
        <v>OK</v>
      </c>
    </row>
    <row r="12" spans="1:12" ht="12.75" customHeight="1">
      <c r="A12" s="131" t="str">
        <f>'t1'!A11</f>
        <v>MAGISTRATI ORDINARI DOPO 1 ANNO DALLA III VALUT. PROF.</v>
      </c>
      <c r="B12" s="180" t="str">
        <f>'t1'!B11</f>
        <v>0D0MT6</v>
      </c>
      <c r="C12" s="332">
        <f>'t1'!K11</f>
        <v>0</v>
      </c>
      <c r="D12" s="332">
        <f>'t7'!W11</f>
        <v>0</v>
      </c>
      <c r="E12" s="333">
        <f>'t8'!AA11</f>
        <v>0</v>
      </c>
      <c r="F12" s="333">
        <f>'t9'!O11</f>
        <v>0</v>
      </c>
      <c r="G12" s="99" t="str">
        <f t="shared" si="0"/>
        <v>OK</v>
      </c>
      <c r="H12" s="333">
        <f>'t1'!L11</f>
        <v>0</v>
      </c>
      <c r="I12" s="333">
        <f>'t7'!X11</f>
        <v>0</v>
      </c>
      <c r="J12" s="333">
        <f>'t8'!AB11</f>
        <v>0</v>
      </c>
      <c r="K12" s="332">
        <f>'t9'!P11</f>
        <v>0</v>
      </c>
      <c r="L12" s="99" t="str">
        <f t="shared" si="1"/>
        <v>OK</v>
      </c>
    </row>
    <row r="13" spans="1:12" ht="12.75" customHeight="1">
      <c r="A13" s="131" t="str">
        <f>'t1'!A12</f>
        <v>MAGISTRATI ORDINARI  I  VALUT. PROF.</v>
      </c>
      <c r="B13" s="180" t="str">
        <f>'t1'!B12</f>
        <v>0D0MT7</v>
      </c>
      <c r="C13" s="332">
        <f>'t1'!K12</f>
        <v>0</v>
      </c>
      <c r="D13" s="332">
        <f>'t7'!W12</f>
        <v>0</v>
      </c>
      <c r="E13" s="333">
        <f>'t8'!AA12</f>
        <v>0</v>
      </c>
      <c r="F13" s="333">
        <f>'t9'!O12</f>
        <v>0</v>
      </c>
      <c r="G13" s="99" t="str">
        <f t="shared" si="0"/>
        <v>OK</v>
      </c>
      <c r="H13" s="333">
        <f>'t1'!L12</f>
        <v>0</v>
      </c>
      <c r="I13" s="333">
        <f>'t7'!X12</f>
        <v>0</v>
      </c>
      <c r="J13" s="333">
        <f>'t8'!AB12</f>
        <v>0</v>
      </c>
      <c r="K13" s="332">
        <f>'t9'!P12</f>
        <v>0</v>
      </c>
      <c r="L13" s="99" t="str">
        <f t="shared" si="1"/>
        <v>OK</v>
      </c>
    </row>
    <row r="14" spans="1:12" ht="12.75" customHeight="1">
      <c r="A14" s="131" t="str">
        <f>'t1'!A13</f>
        <v>MAGISTRATI ORDINARI</v>
      </c>
      <c r="B14" s="180" t="str">
        <f>'t1'!B13</f>
        <v>0D0MT8</v>
      </c>
      <c r="C14" s="332">
        <f>'t1'!K13</f>
        <v>0</v>
      </c>
      <c r="D14" s="332">
        <f>'t7'!W13</f>
        <v>0</v>
      </c>
      <c r="E14" s="333">
        <f>'t8'!AA13</f>
        <v>0</v>
      </c>
      <c r="F14" s="333">
        <f>'t9'!O13</f>
        <v>0</v>
      </c>
      <c r="G14" s="99" t="str">
        <f t="shared" si="0"/>
        <v>OK</v>
      </c>
      <c r="H14" s="333">
        <f>'t1'!L13</f>
        <v>0</v>
      </c>
      <c r="I14" s="333">
        <f>'t7'!X13</f>
        <v>0</v>
      </c>
      <c r="J14" s="333">
        <f>'t8'!AB13</f>
        <v>0</v>
      </c>
      <c r="K14" s="332">
        <f>'t9'!P13</f>
        <v>0</v>
      </c>
      <c r="L14" s="99" t="str">
        <f t="shared" si="1"/>
        <v>OK</v>
      </c>
    </row>
    <row r="15" spans="1:12" ht="12.75" customHeight="1">
      <c r="A15" s="131" t="str">
        <f>'t1'!A14</f>
        <v>MAGISTRATI ORDINARI IN TIROCINIO</v>
      </c>
      <c r="B15" s="180" t="str">
        <f>'t1'!B14</f>
        <v>0D0MT9</v>
      </c>
      <c r="C15" s="332">
        <f>'t1'!K14</f>
        <v>0</v>
      </c>
      <c r="D15" s="332">
        <f>'t7'!W14</f>
        <v>0</v>
      </c>
      <c r="E15" s="333">
        <f>'t8'!AA14</f>
        <v>0</v>
      </c>
      <c r="F15" s="333">
        <f>'t9'!O14</f>
        <v>0</v>
      </c>
      <c r="G15" s="99" t="str">
        <f t="shared" si="0"/>
        <v>OK</v>
      </c>
      <c r="H15" s="333">
        <f>'t1'!L14</f>
        <v>0</v>
      </c>
      <c r="I15" s="333">
        <f>'t7'!X14</f>
        <v>0</v>
      </c>
      <c r="J15" s="333">
        <f>'t8'!AB14</f>
        <v>0</v>
      </c>
      <c r="K15" s="332">
        <f>'t9'!P14</f>
        <v>0</v>
      </c>
      <c r="L15" s="99" t="str">
        <f t="shared" si="1"/>
        <v>OK</v>
      </c>
    </row>
    <row r="16" spans="1:12" ht="15.75" customHeight="1">
      <c r="A16" s="131" t="str">
        <f>'t1'!A15</f>
        <v>TOTALE</v>
      </c>
      <c r="B16" s="170"/>
      <c r="C16" s="333">
        <f>SUM(C7:C15)</f>
        <v>0</v>
      </c>
      <c r="D16" s="333">
        <f>SUM(D7:D15)</f>
        <v>0</v>
      </c>
      <c r="E16" s="333">
        <f>SUM(E7:E15)</f>
        <v>0</v>
      </c>
      <c r="F16" s="333">
        <f>SUM(F7:F15)</f>
        <v>0</v>
      </c>
      <c r="G16" s="99" t="str">
        <f>IF(COUNTIF(C16:F16,C16)=4,"OK","ERRORE")</f>
        <v>OK</v>
      </c>
      <c r="H16" s="333">
        <f>SUM(H7:H15)</f>
        <v>0</v>
      </c>
      <c r="I16" s="333">
        <f>SUM(I7:I15)</f>
        <v>0</v>
      </c>
      <c r="J16" s="333">
        <f>SUM(J7:J15)</f>
        <v>0</v>
      </c>
      <c r="K16" s="333">
        <f>SUM(K7:K15)</f>
        <v>0</v>
      </c>
      <c r="L16" s="99" t="str">
        <f>IF(COUNTIF(H16:K16,H16)=4,"OK","ERRORE")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sheetPr codeName="Foglio24">
    <tabColor indexed="10"/>
  </sheetPr>
  <dimension ref="A1:AB17"/>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60.660156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903" t="str">
        <f>'t1'!A1</f>
        <v>MAGISTRATURA ORDINARIA - anno 2019</v>
      </c>
      <c r="B1" s="903"/>
      <c r="C1" s="903"/>
      <c r="D1" s="903"/>
      <c r="E1" s="903"/>
      <c r="F1" s="903"/>
      <c r="G1" s="903"/>
      <c r="H1" s="903"/>
      <c r="I1" s="903"/>
      <c r="J1" s="903"/>
      <c r="K1" s="903"/>
      <c r="L1" s="903"/>
      <c r="M1" s="903"/>
      <c r="N1" s="903"/>
      <c r="O1" s="903"/>
      <c r="P1" s="903"/>
      <c r="Q1" s="903"/>
      <c r="R1" s="903"/>
      <c r="S1" s="903"/>
      <c r="T1" s="903"/>
      <c r="U1" s="903"/>
      <c r="V1" s="903"/>
      <c r="W1" s="903"/>
      <c r="X1" s="903"/>
      <c r="Y1" s="903"/>
      <c r="Z1" s="5"/>
      <c r="AB1" s="648"/>
    </row>
    <row r="2" spans="1:28" ht="36" customHeight="1">
      <c r="A2" s="983" t="s">
        <v>474</v>
      </c>
      <c r="B2" s="983"/>
      <c r="C2" s="983"/>
      <c r="D2" s="983"/>
      <c r="E2" s="983"/>
      <c r="F2" s="983"/>
      <c r="G2" s="983"/>
      <c r="H2" s="983"/>
      <c r="I2" s="983"/>
      <c r="J2" s="983"/>
      <c r="K2" s="983"/>
      <c r="L2" s="983"/>
      <c r="M2" s="983"/>
      <c r="N2" s="723"/>
      <c r="O2" s="742"/>
      <c r="P2" s="479"/>
      <c r="Q2" s="479"/>
      <c r="R2" s="479"/>
      <c r="S2" s="479"/>
      <c r="T2" s="479"/>
      <c r="U2" s="479"/>
      <c r="V2" s="479"/>
      <c r="W2" s="479"/>
      <c r="X2" s="479"/>
      <c r="Y2" s="479"/>
      <c r="Z2" s="479"/>
      <c r="AA2" s="723"/>
      <c r="AB2" s="479"/>
    </row>
    <row r="3" spans="1:28" ht="18.75" customHeight="1">
      <c r="A3" s="190"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P3" s="5"/>
      <c r="Q3" s="5"/>
      <c r="R3" s="5"/>
      <c r="S3" s="5"/>
      <c r="T3" s="5"/>
      <c r="U3" s="5"/>
      <c r="V3" s="5"/>
      <c r="W3" s="5"/>
      <c r="X3" s="5"/>
      <c r="Y3" s="5"/>
      <c r="Z3" s="5"/>
      <c r="AB3" s="5"/>
    </row>
    <row r="4" spans="1:28" ht="12">
      <c r="A4" s="310" t="s">
        <v>203</v>
      </c>
      <c r="C4" s="5"/>
      <c r="D4" s="5"/>
      <c r="E4" s="5"/>
      <c r="F4" s="5"/>
      <c r="G4" s="5"/>
      <c r="H4" s="5"/>
      <c r="I4" s="5"/>
      <c r="J4" s="5"/>
      <c r="K4" s="5"/>
      <c r="L4" s="5"/>
      <c r="M4" s="5"/>
      <c r="P4" s="5"/>
      <c r="Q4" s="5"/>
      <c r="R4" s="5"/>
      <c r="S4" s="5"/>
      <c r="T4" s="5"/>
      <c r="U4" s="5"/>
      <c r="V4" s="5"/>
      <c r="W4" s="5"/>
      <c r="X4" s="5"/>
      <c r="Y4" s="5"/>
      <c r="Z4" s="5"/>
      <c r="AB4" s="5"/>
    </row>
    <row r="5" spans="1:28" ht="12.75">
      <c r="A5" s="174"/>
      <c r="B5" s="171"/>
      <c r="C5" s="980" t="s">
        <v>232</v>
      </c>
      <c r="D5" s="981"/>
      <c r="E5" s="981"/>
      <c r="F5" s="981"/>
      <c r="G5" s="981"/>
      <c r="H5" s="981"/>
      <c r="I5" s="981"/>
      <c r="J5" s="981"/>
      <c r="K5" s="981"/>
      <c r="L5" s="981"/>
      <c r="M5" s="981"/>
      <c r="N5" s="981"/>
      <c r="O5" s="981"/>
      <c r="P5" s="980" t="s">
        <v>233</v>
      </c>
      <c r="Q5" s="981"/>
      <c r="R5" s="981"/>
      <c r="S5" s="981"/>
      <c r="T5" s="981"/>
      <c r="U5" s="981"/>
      <c r="V5" s="981"/>
      <c r="W5" s="981"/>
      <c r="X5" s="981"/>
      <c r="Y5" s="981"/>
      <c r="Z5" s="981"/>
      <c r="AA5" s="981"/>
      <c r="AB5" s="982"/>
    </row>
    <row r="6" spans="1:28" s="189" customFormat="1" ht="64.5" customHeight="1">
      <c r="A6" s="178" t="s">
        <v>173</v>
      </c>
      <c r="B6" s="178" t="s">
        <v>172</v>
      </c>
      <c r="C6" s="178" t="str">
        <f>"Presenti 31.12."&amp;'t1'!L1&amp;" (Tab 1)"</f>
        <v>Presenti 31.12.2019 (Tab 1)</v>
      </c>
      <c r="D6" s="178" t="s">
        <v>186</v>
      </c>
      <c r="E6" s="178" t="s">
        <v>185</v>
      </c>
      <c r="F6" s="178" t="s">
        <v>281</v>
      </c>
      <c r="G6" s="178" t="s">
        <v>202</v>
      </c>
      <c r="H6" s="178" t="s">
        <v>187</v>
      </c>
      <c r="I6" s="178" t="s">
        <v>282</v>
      </c>
      <c r="J6" s="545" t="s">
        <v>521</v>
      </c>
      <c r="K6" s="545" t="s">
        <v>522</v>
      </c>
      <c r="L6" s="178" t="s">
        <v>204</v>
      </c>
      <c r="M6" s="178" t="s">
        <v>205</v>
      </c>
      <c r="N6" s="545" t="s">
        <v>469</v>
      </c>
      <c r="O6" s="545" t="s">
        <v>470</v>
      </c>
      <c r="P6" s="178" t="str">
        <f>"Presenti 31.12."&amp;'t1'!L1&amp;" (Tab 1)"</f>
        <v>Presenti 31.12.2019 (Tab 1)</v>
      </c>
      <c r="Q6" s="178" t="s">
        <v>186</v>
      </c>
      <c r="R6" s="178" t="s">
        <v>185</v>
      </c>
      <c r="S6" s="178" t="s">
        <v>281</v>
      </c>
      <c r="T6" s="178" t="s">
        <v>202</v>
      </c>
      <c r="U6" s="178" t="s">
        <v>187</v>
      </c>
      <c r="V6" s="178" t="s">
        <v>282</v>
      </c>
      <c r="W6" s="545" t="s">
        <v>521</v>
      </c>
      <c r="X6" s="545" t="s">
        <v>522</v>
      </c>
      <c r="Y6" s="178" t="s">
        <v>204</v>
      </c>
      <c r="Z6" s="178" t="s">
        <v>205</v>
      </c>
      <c r="AA6" s="545" t="s">
        <v>469</v>
      </c>
      <c r="AB6" s="545" t="s">
        <v>470</v>
      </c>
    </row>
    <row r="7" spans="1:28" s="187" customFormat="1" ht="21.75">
      <c r="A7" s="186"/>
      <c r="B7" s="186"/>
      <c r="C7" s="183" t="s">
        <v>174</v>
      </c>
      <c r="D7" s="183" t="s">
        <v>175</v>
      </c>
      <c r="E7" s="183" t="s">
        <v>176</v>
      </c>
      <c r="F7" s="183" t="s">
        <v>177</v>
      </c>
      <c r="G7" s="184" t="s">
        <v>178</v>
      </c>
      <c r="H7" s="184" t="s">
        <v>198</v>
      </c>
      <c r="I7" s="184" t="s">
        <v>180</v>
      </c>
      <c r="J7" s="184" t="s">
        <v>188</v>
      </c>
      <c r="K7" s="184" t="s">
        <v>189</v>
      </c>
      <c r="L7" s="184" t="s">
        <v>2</v>
      </c>
      <c r="M7" s="184" t="s">
        <v>3</v>
      </c>
      <c r="N7" s="184" t="s">
        <v>472</v>
      </c>
      <c r="O7" s="184" t="s">
        <v>4</v>
      </c>
      <c r="P7" s="183" t="s">
        <v>190</v>
      </c>
      <c r="Q7" s="183" t="s">
        <v>191</v>
      </c>
      <c r="R7" s="183" t="s">
        <v>192</v>
      </c>
      <c r="S7" s="183" t="s">
        <v>283</v>
      </c>
      <c r="T7" s="184" t="s">
        <v>193</v>
      </c>
      <c r="U7" s="184" t="s">
        <v>284</v>
      </c>
      <c r="V7" s="184" t="s">
        <v>285</v>
      </c>
      <c r="W7" s="184" t="s">
        <v>5</v>
      </c>
      <c r="X7" s="184" t="s">
        <v>286</v>
      </c>
      <c r="Y7" s="184" t="s">
        <v>6</v>
      </c>
      <c r="Z7" s="184" t="s">
        <v>7</v>
      </c>
      <c r="AA7" s="184" t="s">
        <v>471</v>
      </c>
      <c r="AB7" s="184" t="s">
        <v>8</v>
      </c>
    </row>
    <row r="8" spans="1:28" ht="12.75" customHeight="1">
      <c r="A8" s="131" t="str">
        <f>'t1'!A6</f>
        <v>MAGIST.  CON FUNZ. DIRETT. APICALI GIUDICANTI DI LEGITTIMITÀ</v>
      </c>
      <c r="B8" s="180" t="str">
        <f>'t1'!B6</f>
        <v>0D0MT1</v>
      </c>
      <c r="C8" s="332">
        <f>'t1'!K6</f>
        <v>0</v>
      </c>
      <c r="D8" s="332">
        <f>'t3'!M6</f>
        <v>0</v>
      </c>
      <c r="E8" s="333">
        <f>'t3'!O6</f>
        <v>0</v>
      </c>
      <c r="F8" s="333">
        <f>'t3'!Q6</f>
        <v>0</v>
      </c>
      <c r="G8" s="333">
        <f>'t3'!C6</f>
        <v>0</v>
      </c>
      <c r="H8" s="333">
        <f>'t3'!E6</f>
        <v>0</v>
      </c>
      <c r="I8" s="333">
        <f>'t3'!G6</f>
        <v>0</v>
      </c>
      <c r="J8" s="333">
        <f>'t3'!I6</f>
        <v>0</v>
      </c>
      <c r="K8" s="333">
        <f>'t3'!K6</f>
        <v>0</v>
      </c>
      <c r="L8" s="333">
        <f>C8+D8+E8+F8-G8-H8-I8-J8-K8</f>
        <v>0</v>
      </c>
      <c r="M8" s="333">
        <f>'t10'!AU6</f>
        <v>0</v>
      </c>
      <c r="N8" s="741" t="str">
        <f>IF(C8&lt;(G8+H8+I8+J8+K8),"ERRORE","OK")</f>
        <v>OK</v>
      </c>
      <c r="O8" s="99" t="str">
        <f>IF(L8=M8,"OK","ERRORE")</f>
        <v>OK</v>
      </c>
      <c r="P8" s="332">
        <f>'t1'!L6</f>
        <v>0</v>
      </c>
      <c r="Q8" s="332">
        <f>'t3'!N6</f>
        <v>0</v>
      </c>
      <c r="R8" s="333">
        <f>'t3'!P6</f>
        <v>0</v>
      </c>
      <c r="S8" s="333">
        <f>'t3'!R6</f>
        <v>0</v>
      </c>
      <c r="T8" s="333">
        <f>'t3'!D6</f>
        <v>0</v>
      </c>
      <c r="U8" s="333">
        <f>'t3'!F6</f>
        <v>0</v>
      </c>
      <c r="V8" s="333">
        <f>'t3'!H6</f>
        <v>0</v>
      </c>
      <c r="W8" s="333">
        <f>'t3'!J6</f>
        <v>0</v>
      </c>
      <c r="X8" s="333">
        <f>'t3'!L6</f>
        <v>0</v>
      </c>
      <c r="Y8" s="333">
        <f aca="true" t="shared" si="0" ref="Y8:Y16">P8+Q8+R8+S8-T8-U8-V8-W8-X8</f>
        <v>0</v>
      </c>
      <c r="Z8" s="333">
        <f>'t10'!AV6</f>
        <v>0</v>
      </c>
      <c r="AA8" s="741" t="str">
        <f>IF(P8&lt;(T8+U8+V8+W8+X8),"ERRORE","OK")</f>
        <v>OK</v>
      </c>
      <c r="AB8" s="185" t="str">
        <f>IF(Y8=Z8,"OK","ERRORE")</f>
        <v>OK</v>
      </c>
    </row>
    <row r="9" spans="1:28" ht="12.75" customHeight="1">
      <c r="A9" s="131" t="str">
        <f>'t1'!A7</f>
        <v>MAGIST. CON FUNZ. DIRETT. APICALI REQUIRENTI DI LEGITTIMITÀ</v>
      </c>
      <c r="B9" s="180" t="str">
        <f>'t1'!B7</f>
        <v>0D0MT2</v>
      </c>
      <c r="C9" s="332">
        <f>'t1'!K7</f>
        <v>0</v>
      </c>
      <c r="D9" s="332">
        <f>'t3'!M7</f>
        <v>0</v>
      </c>
      <c r="E9" s="333">
        <f>'t3'!O7</f>
        <v>0</v>
      </c>
      <c r="F9" s="333">
        <f>'t3'!Q7</f>
        <v>0</v>
      </c>
      <c r="G9" s="333">
        <f>'t3'!C7</f>
        <v>0</v>
      </c>
      <c r="H9" s="333">
        <f>'t3'!E7</f>
        <v>0</v>
      </c>
      <c r="I9" s="333">
        <f>'t3'!G7</f>
        <v>0</v>
      </c>
      <c r="J9" s="333">
        <f>'t3'!I7</f>
        <v>0</v>
      </c>
      <c r="K9" s="333">
        <f>'t3'!K7</f>
        <v>0</v>
      </c>
      <c r="L9" s="333">
        <f aca="true" t="shared" si="1" ref="L9:L16">C9+D9+E9+F9-G9-H9-I9-J9-K9</f>
        <v>0</v>
      </c>
      <c r="M9" s="333">
        <f>'t10'!AU7</f>
        <v>0</v>
      </c>
      <c r="N9" s="741" t="str">
        <f aca="true" t="shared" si="2" ref="N9:N17">IF(C9&lt;(G9+H9+I9+J9+K9),"ERRORE","OK")</f>
        <v>OK</v>
      </c>
      <c r="O9" s="99" t="str">
        <f aca="true" t="shared" si="3" ref="O9:O17">IF(L9=M9,"OK","ERRORE")</f>
        <v>OK</v>
      </c>
      <c r="P9" s="332">
        <f>'t1'!L7</f>
        <v>0</v>
      </c>
      <c r="Q9" s="332">
        <f>'t3'!N7</f>
        <v>0</v>
      </c>
      <c r="R9" s="333">
        <f>'t3'!P7</f>
        <v>0</v>
      </c>
      <c r="S9" s="333">
        <f>'t3'!R7</f>
        <v>0</v>
      </c>
      <c r="T9" s="333">
        <f>'t3'!D7</f>
        <v>0</v>
      </c>
      <c r="U9" s="333">
        <f>'t3'!F7</f>
        <v>0</v>
      </c>
      <c r="V9" s="333">
        <f>'t3'!H7</f>
        <v>0</v>
      </c>
      <c r="W9" s="333">
        <f>'t3'!J7</f>
        <v>0</v>
      </c>
      <c r="X9" s="333">
        <f>'t3'!L7</f>
        <v>0</v>
      </c>
      <c r="Y9" s="333">
        <f t="shared" si="0"/>
        <v>0</v>
      </c>
      <c r="Z9" s="333">
        <f>'t10'!AV7</f>
        <v>0</v>
      </c>
      <c r="AA9" s="741" t="str">
        <f aca="true" t="shared" si="4" ref="AA9:AA17">IF(P9&lt;(T9+U9+V9+W9+X9),"ERRORE","OK")</f>
        <v>OK</v>
      </c>
      <c r="AB9" s="185" t="str">
        <f aca="true" t="shared" si="5" ref="AB9:AB17">IF(Y9=Z9,"OK","ERRORE")</f>
        <v>OK</v>
      </c>
    </row>
    <row r="10" spans="1:28" ht="12.75" customHeight="1">
      <c r="A10" s="131" t="str">
        <f>'t1'!A8</f>
        <v>MAGISTRATI CON FUNZIONI DIRETTIVE SUPERIORI DI LEGITTIMITÀ</v>
      </c>
      <c r="B10" s="180" t="str">
        <f>'t1'!B8</f>
        <v>0D0MT3</v>
      </c>
      <c r="C10" s="332">
        <f>'t1'!K8</f>
        <v>0</v>
      </c>
      <c r="D10" s="332">
        <f>'t3'!M8</f>
        <v>0</v>
      </c>
      <c r="E10" s="333">
        <f>'t3'!O8</f>
        <v>0</v>
      </c>
      <c r="F10" s="333">
        <f>'t3'!Q8</f>
        <v>0</v>
      </c>
      <c r="G10" s="333">
        <f>'t3'!C8</f>
        <v>0</v>
      </c>
      <c r="H10" s="333">
        <f>'t3'!E8</f>
        <v>0</v>
      </c>
      <c r="I10" s="333">
        <f>'t3'!G8</f>
        <v>0</v>
      </c>
      <c r="J10" s="333">
        <f>'t3'!I8</f>
        <v>0</v>
      </c>
      <c r="K10" s="333">
        <f>'t3'!K8</f>
        <v>0</v>
      </c>
      <c r="L10" s="333">
        <f t="shared" si="1"/>
        <v>0</v>
      </c>
      <c r="M10" s="333">
        <f>'t10'!AU8</f>
        <v>0</v>
      </c>
      <c r="N10" s="741" t="str">
        <f t="shared" si="2"/>
        <v>OK</v>
      </c>
      <c r="O10" s="99" t="str">
        <f t="shared" si="3"/>
        <v>OK</v>
      </c>
      <c r="P10" s="332">
        <f>'t1'!L8</f>
        <v>0</v>
      </c>
      <c r="Q10" s="332">
        <f>'t3'!N8</f>
        <v>0</v>
      </c>
      <c r="R10" s="333">
        <f>'t3'!P8</f>
        <v>0</v>
      </c>
      <c r="S10" s="333">
        <f>'t3'!R8</f>
        <v>0</v>
      </c>
      <c r="T10" s="333">
        <f>'t3'!D8</f>
        <v>0</v>
      </c>
      <c r="U10" s="333">
        <f>'t3'!F8</f>
        <v>0</v>
      </c>
      <c r="V10" s="333">
        <f>'t3'!H8</f>
        <v>0</v>
      </c>
      <c r="W10" s="333">
        <f>'t3'!J8</f>
        <v>0</v>
      </c>
      <c r="X10" s="333">
        <f>'t3'!L8</f>
        <v>0</v>
      </c>
      <c r="Y10" s="333">
        <f t="shared" si="0"/>
        <v>0</v>
      </c>
      <c r="Z10" s="333">
        <f>'t10'!AV8</f>
        <v>0</v>
      </c>
      <c r="AA10" s="741" t="str">
        <f t="shared" si="4"/>
        <v>OK</v>
      </c>
      <c r="AB10" s="185" t="str">
        <f t="shared" si="5"/>
        <v>OK</v>
      </c>
    </row>
    <row r="11" spans="1:28" ht="12.75" customHeight="1">
      <c r="A11" s="131" t="str">
        <f>'t1'!A9</f>
        <v>MAGISTRATI ORDINARI VII VALUT. PROF.</v>
      </c>
      <c r="B11" s="180" t="str">
        <f>'t1'!B9</f>
        <v>0D0MT4</v>
      </c>
      <c r="C11" s="332">
        <f>'t1'!K9</f>
        <v>0</v>
      </c>
      <c r="D11" s="332">
        <f>'t3'!M9</f>
        <v>0</v>
      </c>
      <c r="E11" s="333">
        <f>'t3'!O9</f>
        <v>0</v>
      </c>
      <c r="F11" s="333">
        <f>'t3'!Q9</f>
        <v>0</v>
      </c>
      <c r="G11" s="333">
        <f>'t3'!C9</f>
        <v>0</v>
      </c>
      <c r="H11" s="333">
        <f>'t3'!E9</f>
        <v>0</v>
      </c>
      <c r="I11" s="333">
        <f>'t3'!G9</f>
        <v>0</v>
      </c>
      <c r="J11" s="333">
        <f>'t3'!I9</f>
        <v>0</v>
      </c>
      <c r="K11" s="333">
        <f>'t3'!K9</f>
        <v>0</v>
      </c>
      <c r="L11" s="333">
        <f t="shared" si="1"/>
        <v>0</v>
      </c>
      <c r="M11" s="333">
        <f>'t10'!AU9</f>
        <v>0</v>
      </c>
      <c r="N11" s="741" t="str">
        <f t="shared" si="2"/>
        <v>OK</v>
      </c>
      <c r="O11" s="99" t="str">
        <f t="shared" si="3"/>
        <v>OK</v>
      </c>
      <c r="P11" s="332">
        <f>'t1'!L9</f>
        <v>0</v>
      </c>
      <c r="Q11" s="332">
        <f>'t3'!N9</f>
        <v>0</v>
      </c>
      <c r="R11" s="333">
        <f>'t3'!P9</f>
        <v>0</v>
      </c>
      <c r="S11" s="333">
        <f>'t3'!R9</f>
        <v>0</v>
      </c>
      <c r="T11" s="333">
        <f>'t3'!D9</f>
        <v>0</v>
      </c>
      <c r="U11" s="333">
        <f>'t3'!F9</f>
        <v>0</v>
      </c>
      <c r="V11" s="333">
        <f>'t3'!H9</f>
        <v>0</v>
      </c>
      <c r="W11" s="333">
        <f>'t3'!J9</f>
        <v>0</v>
      </c>
      <c r="X11" s="333">
        <f>'t3'!L9</f>
        <v>0</v>
      </c>
      <c r="Y11" s="333">
        <f t="shared" si="0"/>
        <v>0</v>
      </c>
      <c r="Z11" s="333">
        <f>'t10'!AV9</f>
        <v>0</v>
      </c>
      <c r="AA11" s="741" t="str">
        <f t="shared" si="4"/>
        <v>OK</v>
      </c>
      <c r="AB11" s="185" t="str">
        <f t="shared" si="5"/>
        <v>OK</v>
      </c>
    </row>
    <row r="12" spans="1:28" ht="12.75" customHeight="1">
      <c r="A12" s="131" t="str">
        <f>'t1'!A10</f>
        <v>MAGISTRATI ORDINARI V VALUT. PROF.</v>
      </c>
      <c r="B12" s="180" t="str">
        <f>'t1'!B10</f>
        <v>0D0MT5</v>
      </c>
      <c r="C12" s="332">
        <f>'t1'!K10</f>
        <v>0</v>
      </c>
      <c r="D12" s="332">
        <f>'t3'!M10</f>
        <v>0</v>
      </c>
      <c r="E12" s="333">
        <f>'t3'!O10</f>
        <v>0</v>
      </c>
      <c r="F12" s="333">
        <f>'t3'!Q10</f>
        <v>0</v>
      </c>
      <c r="G12" s="333">
        <f>'t3'!C10</f>
        <v>0</v>
      </c>
      <c r="H12" s="333">
        <f>'t3'!E10</f>
        <v>0</v>
      </c>
      <c r="I12" s="333">
        <f>'t3'!G10</f>
        <v>0</v>
      </c>
      <c r="J12" s="333">
        <f>'t3'!I10</f>
        <v>0</v>
      </c>
      <c r="K12" s="333">
        <f>'t3'!K10</f>
        <v>0</v>
      </c>
      <c r="L12" s="333">
        <f t="shared" si="1"/>
        <v>0</v>
      </c>
      <c r="M12" s="333">
        <f>'t10'!AU10</f>
        <v>0</v>
      </c>
      <c r="N12" s="741" t="str">
        <f t="shared" si="2"/>
        <v>OK</v>
      </c>
      <c r="O12" s="99" t="str">
        <f t="shared" si="3"/>
        <v>OK</v>
      </c>
      <c r="P12" s="332">
        <f>'t1'!L10</f>
        <v>0</v>
      </c>
      <c r="Q12" s="332">
        <f>'t3'!N10</f>
        <v>0</v>
      </c>
      <c r="R12" s="333">
        <f>'t3'!P10</f>
        <v>0</v>
      </c>
      <c r="S12" s="333">
        <f>'t3'!R10</f>
        <v>0</v>
      </c>
      <c r="T12" s="333">
        <f>'t3'!D10</f>
        <v>0</v>
      </c>
      <c r="U12" s="333">
        <f>'t3'!F10</f>
        <v>0</v>
      </c>
      <c r="V12" s="333">
        <f>'t3'!H10</f>
        <v>0</v>
      </c>
      <c r="W12" s="333">
        <f>'t3'!J10</f>
        <v>0</v>
      </c>
      <c r="X12" s="333">
        <f>'t3'!L10</f>
        <v>0</v>
      </c>
      <c r="Y12" s="333">
        <f t="shared" si="0"/>
        <v>0</v>
      </c>
      <c r="Z12" s="333">
        <f>'t10'!AV10</f>
        <v>0</v>
      </c>
      <c r="AA12" s="741" t="str">
        <f t="shared" si="4"/>
        <v>OK</v>
      </c>
      <c r="AB12" s="185" t="str">
        <f t="shared" si="5"/>
        <v>OK</v>
      </c>
    </row>
    <row r="13" spans="1:28" ht="12.75" customHeight="1">
      <c r="A13" s="131" t="str">
        <f>'t1'!A11</f>
        <v>MAGISTRATI ORDINARI DOPO 1 ANNO DALLA III VALUT. PROF.</v>
      </c>
      <c r="B13" s="180" t="str">
        <f>'t1'!B11</f>
        <v>0D0MT6</v>
      </c>
      <c r="C13" s="332">
        <f>'t1'!K11</f>
        <v>0</v>
      </c>
      <c r="D13" s="332">
        <f>'t3'!M11</f>
        <v>0</v>
      </c>
      <c r="E13" s="333">
        <f>'t3'!O11</f>
        <v>0</v>
      </c>
      <c r="F13" s="333">
        <f>'t3'!Q11</f>
        <v>0</v>
      </c>
      <c r="G13" s="333">
        <f>'t3'!C11</f>
        <v>0</v>
      </c>
      <c r="H13" s="333">
        <f>'t3'!E11</f>
        <v>0</v>
      </c>
      <c r="I13" s="333">
        <f>'t3'!G11</f>
        <v>0</v>
      </c>
      <c r="J13" s="333">
        <f>'t3'!I11</f>
        <v>0</v>
      </c>
      <c r="K13" s="333">
        <f>'t3'!K11</f>
        <v>0</v>
      </c>
      <c r="L13" s="333">
        <f t="shared" si="1"/>
        <v>0</v>
      </c>
      <c r="M13" s="333">
        <f>'t10'!AU11</f>
        <v>0</v>
      </c>
      <c r="N13" s="741" t="str">
        <f t="shared" si="2"/>
        <v>OK</v>
      </c>
      <c r="O13" s="99" t="str">
        <f t="shared" si="3"/>
        <v>OK</v>
      </c>
      <c r="P13" s="332">
        <f>'t1'!L11</f>
        <v>0</v>
      </c>
      <c r="Q13" s="332">
        <f>'t3'!N11</f>
        <v>0</v>
      </c>
      <c r="R13" s="333">
        <f>'t3'!P11</f>
        <v>0</v>
      </c>
      <c r="S13" s="333">
        <f>'t3'!R11</f>
        <v>0</v>
      </c>
      <c r="T13" s="333">
        <f>'t3'!D11</f>
        <v>0</v>
      </c>
      <c r="U13" s="333">
        <f>'t3'!F11</f>
        <v>0</v>
      </c>
      <c r="V13" s="333">
        <f>'t3'!H11</f>
        <v>0</v>
      </c>
      <c r="W13" s="333">
        <f>'t3'!J11</f>
        <v>0</v>
      </c>
      <c r="X13" s="333">
        <f>'t3'!L11</f>
        <v>0</v>
      </c>
      <c r="Y13" s="333">
        <f t="shared" si="0"/>
        <v>0</v>
      </c>
      <c r="Z13" s="333">
        <f>'t10'!AV11</f>
        <v>0</v>
      </c>
      <c r="AA13" s="741" t="str">
        <f t="shared" si="4"/>
        <v>OK</v>
      </c>
      <c r="AB13" s="185" t="str">
        <f t="shared" si="5"/>
        <v>OK</v>
      </c>
    </row>
    <row r="14" spans="1:28" ht="12.75" customHeight="1">
      <c r="A14" s="131" t="str">
        <f>'t1'!A12</f>
        <v>MAGISTRATI ORDINARI  I  VALUT. PROF.</v>
      </c>
      <c r="B14" s="180" t="str">
        <f>'t1'!B12</f>
        <v>0D0MT7</v>
      </c>
      <c r="C14" s="332">
        <f>'t1'!K12</f>
        <v>0</v>
      </c>
      <c r="D14" s="332">
        <f>'t3'!M12</f>
        <v>0</v>
      </c>
      <c r="E14" s="333">
        <f>'t3'!O12</f>
        <v>0</v>
      </c>
      <c r="F14" s="333">
        <f>'t3'!Q12</f>
        <v>0</v>
      </c>
      <c r="G14" s="333">
        <f>'t3'!C12</f>
        <v>0</v>
      </c>
      <c r="H14" s="333">
        <f>'t3'!E12</f>
        <v>0</v>
      </c>
      <c r="I14" s="333">
        <f>'t3'!G12</f>
        <v>0</v>
      </c>
      <c r="J14" s="333">
        <f>'t3'!I12</f>
        <v>0</v>
      </c>
      <c r="K14" s="333">
        <f>'t3'!K12</f>
        <v>0</v>
      </c>
      <c r="L14" s="333">
        <f t="shared" si="1"/>
        <v>0</v>
      </c>
      <c r="M14" s="333">
        <f>'t10'!AU12</f>
        <v>0</v>
      </c>
      <c r="N14" s="741" t="str">
        <f t="shared" si="2"/>
        <v>OK</v>
      </c>
      <c r="O14" s="99" t="str">
        <f t="shared" si="3"/>
        <v>OK</v>
      </c>
      <c r="P14" s="332">
        <f>'t1'!L12</f>
        <v>0</v>
      </c>
      <c r="Q14" s="332">
        <f>'t3'!N12</f>
        <v>0</v>
      </c>
      <c r="R14" s="333">
        <f>'t3'!P12</f>
        <v>0</v>
      </c>
      <c r="S14" s="333">
        <f>'t3'!R12</f>
        <v>0</v>
      </c>
      <c r="T14" s="333">
        <f>'t3'!D12</f>
        <v>0</v>
      </c>
      <c r="U14" s="333">
        <f>'t3'!F12</f>
        <v>0</v>
      </c>
      <c r="V14" s="333">
        <f>'t3'!H12</f>
        <v>0</v>
      </c>
      <c r="W14" s="333">
        <f>'t3'!J12</f>
        <v>0</v>
      </c>
      <c r="X14" s="333">
        <f>'t3'!L12</f>
        <v>0</v>
      </c>
      <c r="Y14" s="333">
        <f t="shared" si="0"/>
        <v>0</v>
      </c>
      <c r="Z14" s="333">
        <f>'t10'!AV12</f>
        <v>0</v>
      </c>
      <c r="AA14" s="741" t="str">
        <f t="shared" si="4"/>
        <v>OK</v>
      </c>
      <c r="AB14" s="185" t="str">
        <f t="shared" si="5"/>
        <v>OK</v>
      </c>
    </row>
    <row r="15" spans="1:28" ht="12.75" customHeight="1">
      <c r="A15" s="131" t="str">
        <f>'t1'!A13</f>
        <v>MAGISTRATI ORDINARI</v>
      </c>
      <c r="B15" s="180" t="str">
        <f>'t1'!B13</f>
        <v>0D0MT8</v>
      </c>
      <c r="C15" s="332">
        <f>'t1'!K13</f>
        <v>0</v>
      </c>
      <c r="D15" s="332">
        <f>'t3'!M13</f>
        <v>0</v>
      </c>
      <c r="E15" s="333">
        <f>'t3'!O13</f>
        <v>0</v>
      </c>
      <c r="F15" s="333">
        <f>'t3'!Q13</f>
        <v>0</v>
      </c>
      <c r="G15" s="333">
        <f>'t3'!C13</f>
        <v>0</v>
      </c>
      <c r="H15" s="333">
        <f>'t3'!E13</f>
        <v>0</v>
      </c>
      <c r="I15" s="333">
        <f>'t3'!G13</f>
        <v>0</v>
      </c>
      <c r="J15" s="333">
        <f>'t3'!I13</f>
        <v>0</v>
      </c>
      <c r="K15" s="333">
        <f>'t3'!K13</f>
        <v>0</v>
      </c>
      <c r="L15" s="333">
        <f t="shared" si="1"/>
        <v>0</v>
      </c>
      <c r="M15" s="333">
        <f>'t10'!AU13</f>
        <v>0</v>
      </c>
      <c r="N15" s="741" t="str">
        <f t="shared" si="2"/>
        <v>OK</v>
      </c>
      <c r="O15" s="99" t="str">
        <f t="shared" si="3"/>
        <v>OK</v>
      </c>
      <c r="P15" s="332">
        <f>'t1'!L13</f>
        <v>0</v>
      </c>
      <c r="Q15" s="332">
        <f>'t3'!N13</f>
        <v>0</v>
      </c>
      <c r="R15" s="333">
        <f>'t3'!P13</f>
        <v>0</v>
      </c>
      <c r="S15" s="333">
        <f>'t3'!R13</f>
        <v>0</v>
      </c>
      <c r="T15" s="333">
        <f>'t3'!D13</f>
        <v>0</v>
      </c>
      <c r="U15" s="333">
        <f>'t3'!F13</f>
        <v>0</v>
      </c>
      <c r="V15" s="333">
        <f>'t3'!H13</f>
        <v>0</v>
      </c>
      <c r="W15" s="333">
        <f>'t3'!J13</f>
        <v>0</v>
      </c>
      <c r="X15" s="333">
        <f>'t3'!L13</f>
        <v>0</v>
      </c>
      <c r="Y15" s="333">
        <f t="shared" si="0"/>
        <v>0</v>
      </c>
      <c r="Z15" s="333">
        <f>'t10'!AV13</f>
        <v>0</v>
      </c>
      <c r="AA15" s="741" t="str">
        <f t="shared" si="4"/>
        <v>OK</v>
      </c>
      <c r="AB15" s="185" t="str">
        <f t="shared" si="5"/>
        <v>OK</v>
      </c>
    </row>
    <row r="16" spans="1:28" ht="12.75" customHeight="1">
      <c r="A16" s="131" t="str">
        <f>'t1'!A14</f>
        <v>MAGISTRATI ORDINARI IN TIROCINIO</v>
      </c>
      <c r="B16" s="180" t="str">
        <f>'t1'!B14</f>
        <v>0D0MT9</v>
      </c>
      <c r="C16" s="332">
        <f>'t1'!K14</f>
        <v>0</v>
      </c>
      <c r="D16" s="332">
        <f>'t3'!M14</f>
        <v>0</v>
      </c>
      <c r="E16" s="333">
        <f>'t3'!O14</f>
        <v>0</v>
      </c>
      <c r="F16" s="333">
        <f>'t3'!Q14</f>
        <v>0</v>
      </c>
      <c r="G16" s="333">
        <f>'t3'!C14</f>
        <v>0</v>
      </c>
      <c r="H16" s="333">
        <f>'t3'!E14</f>
        <v>0</v>
      </c>
      <c r="I16" s="333">
        <f>'t3'!G14</f>
        <v>0</v>
      </c>
      <c r="J16" s="333">
        <f>'t3'!I14</f>
        <v>0</v>
      </c>
      <c r="K16" s="333">
        <f>'t3'!K14</f>
        <v>0</v>
      </c>
      <c r="L16" s="333">
        <f t="shared" si="1"/>
        <v>0</v>
      </c>
      <c r="M16" s="333">
        <f>'t10'!AU14</f>
        <v>0</v>
      </c>
      <c r="N16" s="741" t="str">
        <f t="shared" si="2"/>
        <v>OK</v>
      </c>
      <c r="O16" s="99" t="str">
        <f t="shared" si="3"/>
        <v>OK</v>
      </c>
      <c r="P16" s="332">
        <f>'t1'!L14</f>
        <v>0</v>
      </c>
      <c r="Q16" s="332">
        <f>'t3'!N14</f>
        <v>0</v>
      </c>
      <c r="R16" s="333">
        <f>'t3'!P14</f>
        <v>0</v>
      </c>
      <c r="S16" s="333">
        <f>'t3'!R14</f>
        <v>0</v>
      </c>
      <c r="T16" s="333">
        <f>'t3'!D14</f>
        <v>0</v>
      </c>
      <c r="U16" s="333">
        <f>'t3'!F14</f>
        <v>0</v>
      </c>
      <c r="V16" s="333">
        <f>'t3'!H14</f>
        <v>0</v>
      </c>
      <c r="W16" s="333">
        <f>'t3'!J14</f>
        <v>0</v>
      </c>
      <c r="X16" s="333">
        <f>'t3'!L14</f>
        <v>0</v>
      </c>
      <c r="Y16" s="333">
        <f t="shared" si="0"/>
        <v>0</v>
      </c>
      <c r="Z16" s="333">
        <f>'t10'!AV14</f>
        <v>0</v>
      </c>
      <c r="AA16" s="741" t="str">
        <f t="shared" si="4"/>
        <v>OK</v>
      </c>
      <c r="AB16" s="185" t="str">
        <f t="shared" si="5"/>
        <v>OK</v>
      </c>
    </row>
    <row r="17" spans="1:28" ht="15.75" customHeight="1">
      <c r="A17" s="131" t="str">
        <f>'t1'!A15</f>
        <v>TOTALE</v>
      </c>
      <c r="B17" s="170"/>
      <c r="C17" s="332">
        <f aca="true" t="shared" si="6" ref="C17:M17">SUM(C8:C16)</f>
        <v>0</v>
      </c>
      <c r="D17" s="332">
        <f t="shared" si="6"/>
        <v>0</v>
      </c>
      <c r="E17" s="332">
        <f t="shared" si="6"/>
        <v>0</v>
      </c>
      <c r="F17" s="332">
        <f t="shared" si="6"/>
        <v>0</v>
      </c>
      <c r="G17" s="332">
        <f t="shared" si="6"/>
        <v>0</v>
      </c>
      <c r="H17" s="332">
        <f t="shared" si="6"/>
        <v>0</v>
      </c>
      <c r="I17" s="332">
        <f t="shared" si="6"/>
        <v>0</v>
      </c>
      <c r="J17" s="332">
        <f t="shared" si="6"/>
        <v>0</v>
      </c>
      <c r="K17" s="332">
        <f t="shared" si="6"/>
        <v>0</v>
      </c>
      <c r="L17" s="332">
        <f t="shared" si="6"/>
        <v>0</v>
      </c>
      <c r="M17" s="332">
        <f t="shared" si="6"/>
        <v>0</v>
      </c>
      <c r="N17" s="741" t="str">
        <f t="shared" si="2"/>
        <v>OK</v>
      </c>
      <c r="O17" s="99" t="str">
        <f t="shared" si="3"/>
        <v>OK</v>
      </c>
      <c r="P17" s="332">
        <f aca="true" t="shared" si="7" ref="P17:Z17">SUM(P8:P16)</f>
        <v>0</v>
      </c>
      <c r="Q17" s="332">
        <f t="shared" si="7"/>
        <v>0</v>
      </c>
      <c r="R17" s="332">
        <f t="shared" si="7"/>
        <v>0</v>
      </c>
      <c r="S17" s="332">
        <f t="shared" si="7"/>
        <v>0</v>
      </c>
      <c r="T17" s="332">
        <f t="shared" si="7"/>
        <v>0</v>
      </c>
      <c r="U17" s="332">
        <f t="shared" si="7"/>
        <v>0</v>
      </c>
      <c r="V17" s="332">
        <f t="shared" si="7"/>
        <v>0</v>
      </c>
      <c r="W17" s="332">
        <f t="shared" si="7"/>
        <v>0</v>
      </c>
      <c r="X17" s="332">
        <f t="shared" si="7"/>
        <v>0</v>
      </c>
      <c r="Y17" s="332">
        <f t="shared" si="7"/>
        <v>0</v>
      </c>
      <c r="Z17" s="332">
        <f t="shared" si="7"/>
        <v>0</v>
      </c>
      <c r="AA17" s="741" t="str">
        <f t="shared" si="4"/>
        <v>OK</v>
      </c>
      <c r="AB17" s="185"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codeName="Foglio8"/>
  <dimension ref="A1:AK18"/>
  <sheetViews>
    <sheetView showGridLines="0" zoomScalePageLayoutView="0" workbookViewId="0" topLeftCell="A1">
      <pane xSplit="2" ySplit="5" topLeftCell="Q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60.66015625" style="5" customWidth="1"/>
    <col min="2" max="2" width="9.66015625" style="7" customWidth="1"/>
    <col min="3" max="12" width="12.83203125" style="5" hidden="1" customWidth="1"/>
    <col min="13" max="13" width="9.33203125" style="765" hidden="1" customWidth="1"/>
    <col min="14" max="26" width="9.33203125" style="5" hidden="1" customWidth="1"/>
    <col min="27" max="36" width="12.83203125" style="5" customWidth="1"/>
    <col min="37" max="37" width="9.33203125" style="765" customWidth="1"/>
    <col min="38" max="16384" width="9.33203125" style="5" customWidth="1"/>
  </cols>
  <sheetData>
    <row r="1" spans="1:36" ht="24.75" customHeight="1" thickBot="1">
      <c r="A1" s="793" t="str">
        <f>"MAGISTRATURA ORDINARIA"&amp;" - anno "&amp;$L$1</f>
        <v>MAGISTRATURA ORDINARIA - anno 2019</v>
      </c>
      <c r="B1" s="793"/>
      <c r="C1" s="793"/>
      <c r="D1" s="793"/>
      <c r="E1" s="793"/>
      <c r="F1" s="793"/>
      <c r="G1" s="793"/>
      <c r="H1" s="793"/>
      <c r="I1" s="793"/>
      <c r="J1" s="793"/>
      <c r="K1" s="793"/>
      <c r="L1" s="640">
        <v>2019</v>
      </c>
      <c r="M1" s="793"/>
      <c r="N1" s="793"/>
      <c r="O1" s="793"/>
      <c r="P1" s="793"/>
      <c r="Q1" s="793"/>
      <c r="R1" s="793"/>
      <c r="S1" s="793"/>
      <c r="T1" s="793"/>
      <c r="U1" s="793"/>
      <c r="V1" s="793"/>
      <c r="W1" s="793"/>
      <c r="X1" s="793"/>
      <c r="Y1" s="793"/>
      <c r="Z1" s="793"/>
      <c r="AA1" s="793"/>
      <c r="AB1" s="793"/>
      <c r="AC1" s="793"/>
      <c r="AD1" s="793"/>
      <c r="AE1" s="793"/>
      <c r="AF1" s="793"/>
      <c r="AG1" s="793"/>
      <c r="AH1" s="793"/>
      <c r="AI1" s="793"/>
      <c r="AJ1" s="640"/>
    </row>
    <row r="2" spans="1:36" ht="30" customHeight="1" thickBot="1">
      <c r="A2" s="389"/>
      <c r="B2" s="390"/>
      <c r="C2" s="358"/>
      <c r="D2" s="358"/>
      <c r="E2" s="358"/>
      <c r="F2" s="358"/>
      <c r="G2" s="896"/>
      <c r="H2" s="897"/>
      <c r="I2" s="897"/>
      <c r="J2" s="897"/>
      <c r="K2" s="897"/>
      <c r="L2" s="898"/>
      <c r="AA2" s="358"/>
      <c r="AB2" s="358"/>
      <c r="AC2" s="358"/>
      <c r="AD2" s="358"/>
      <c r="AE2" s="899"/>
      <c r="AF2" s="899"/>
      <c r="AG2" s="899"/>
      <c r="AH2" s="899"/>
      <c r="AI2" s="899"/>
      <c r="AJ2" s="899"/>
    </row>
    <row r="3" spans="1:36" ht="15" customHeight="1" thickBot="1">
      <c r="A3" s="360"/>
      <c r="B3" s="361"/>
      <c r="C3" s="893" t="s">
        <v>55</v>
      </c>
      <c r="D3" s="893"/>
      <c r="E3" s="893"/>
      <c r="F3" s="893"/>
      <c r="G3" s="894"/>
      <c r="H3" s="894"/>
      <c r="I3" s="894"/>
      <c r="J3" s="894"/>
      <c r="K3" s="894"/>
      <c r="L3" s="895"/>
      <c r="AA3" s="900" t="s">
        <v>55</v>
      </c>
      <c r="AB3" s="901"/>
      <c r="AC3" s="901"/>
      <c r="AD3" s="901"/>
      <c r="AE3" s="901"/>
      <c r="AF3" s="901"/>
      <c r="AG3" s="901"/>
      <c r="AH3" s="901"/>
      <c r="AI3" s="901"/>
      <c r="AJ3" s="902"/>
    </row>
    <row r="4" spans="1:36" ht="23.25" thickTop="1">
      <c r="A4" s="750" t="s">
        <v>118</v>
      </c>
      <c r="B4" s="751" t="s">
        <v>56</v>
      </c>
      <c r="C4" s="18" t="str">
        <f>"Totale dipendenti al 31/12/"&amp;L1-1&amp;" (*)"</f>
        <v>Totale dipendenti al 31/12/2018 (*)</v>
      </c>
      <c r="D4" s="17"/>
      <c r="E4" s="16" t="s">
        <v>60</v>
      </c>
      <c r="F4" s="17"/>
      <c r="G4" s="18" t="s">
        <v>114</v>
      </c>
      <c r="H4" s="17"/>
      <c r="I4" s="18" t="s">
        <v>115</v>
      </c>
      <c r="J4" s="17"/>
      <c r="K4" s="18" t="str">
        <f>"Totale dipendenti al 31/12/"&amp;L1&amp;" (**)"</f>
        <v>Totale dipendenti al 31/12/2019 (**)</v>
      </c>
      <c r="L4" s="291"/>
      <c r="AA4" s="837" t="str">
        <f>"Totale dipendenti al 31/12/"&amp;L1-1&amp;" (*)"</f>
        <v>Totale dipendenti al 31/12/2018 (*)</v>
      </c>
      <c r="AB4" s="838"/>
      <c r="AC4" s="839" t="s">
        <v>60</v>
      </c>
      <c r="AD4" s="838"/>
      <c r="AE4" s="837" t="s">
        <v>114</v>
      </c>
      <c r="AF4" s="838"/>
      <c r="AG4" s="837" t="s">
        <v>115</v>
      </c>
      <c r="AH4" s="838"/>
      <c r="AI4" s="837" t="str">
        <f>"Totale dipendenti al 31/12/"&amp;L1&amp;" (**)"</f>
        <v>Totale dipendenti al 31/12/2019 (**)</v>
      </c>
      <c r="AJ4" s="291"/>
    </row>
    <row r="5" spans="1:36" ht="12" thickBot="1">
      <c r="A5" s="753" t="s">
        <v>482</v>
      </c>
      <c r="B5" s="752"/>
      <c r="C5" s="237" t="s">
        <v>57</v>
      </c>
      <c r="D5" s="238" t="s">
        <v>58</v>
      </c>
      <c r="E5" s="237" t="s">
        <v>57</v>
      </c>
      <c r="F5" s="238" t="s">
        <v>58</v>
      </c>
      <c r="G5" s="237" t="s">
        <v>57</v>
      </c>
      <c r="H5" s="238" t="s">
        <v>58</v>
      </c>
      <c r="I5" s="237" t="s">
        <v>57</v>
      </c>
      <c r="J5" s="238" t="s">
        <v>58</v>
      </c>
      <c r="K5" s="237" t="s">
        <v>57</v>
      </c>
      <c r="L5" s="292" t="s">
        <v>58</v>
      </c>
      <c r="AA5" s="237" t="s">
        <v>57</v>
      </c>
      <c r="AB5" s="238" t="s">
        <v>58</v>
      </c>
      <c r="AC5" s="237" t="s">
        <v>57</v>
      </c>
      <c r="AD5" s="238" t="s">
        <v>58</v>
      </c>
      <c r="AE5" s="237" t="s">
        <v>57</v>
      </c>
      <c r="AF5" s="238" t="s">
        <v>58</v>
      </c>
      <c r="AG5" s="237" t="s">
        <v>57</v>
      </c>
      <c r="AH5" s="238" t="s">
        <v>58</v>
      </c>
      <c r="AI5" s="237" t="s">
        <v>57</v>
      </c>
      <c r="AJ5" s="292" t="s">
        <v>58</v>
      </c>
    </row>
    <row r="6" spans="1:37" ht="12.75" customHeight="1" thickTop="1">
      <c r="A6" s="148" t="s">
        <v>394</v>
      </c>
      <c r="B6" s="351" t="s">
        <v>395</v>
      </c>
      <c r="C6" s="767">
        <f>ROUND(AA6,0)</f>
        <v>0</v>
      </c>
      <c r="D6" s="768">
        <f aca="true" t="shared" si="0" ref="D6:D14">ROUND(AB6,0)</f>
        <v>0</v>
      </c>
      <c r="E6" s="769">
        <f aca="true" t="shared" si="1" ref="E6:E14">ROUND(AC6,0)</f>
        <v>0</v>
      </c>
      <c r="F6" s="770">
        <f aca="true" t="shared" si="2" ref="F6:F14">ROUND(AD6,0)</f>
        <v>0</v>
      </c>
      <c r="G6" s="769">
        <f aca="true" t="shared" si="3" ref="G6:G14">ROUND(AE6,0)</f>
        <v>0</v>
      </c>
      <c r="H6" s="770">
        <f aca="true" t="shared" si="4" ref="H6:H14">ROUND(AF6,0)</f>
        <v>0</v>
      </c>
      <c r="I6" s="769">
        <f aca="true" t="shared" si="5" ref="I6:I14">ROUND(AG6,0)</f>
        <v>0</v>
      </c>
      <c r="J6" s="770">
        <f aca="true" t="shared" si="6" ref="J6:J14">ROUND(AH6,0)</f>
        <v>0</v>
      </c>
      <c r="K6" s="415">
        <f>E6+G6+I6</f>
        <v>0</v>
      </c>
      <c r="L6" s="416">
        <f>F6+H6+J6</f>
        <v>0</v>
      </c>
      <c r="M6" s="766">
        <f>K6+L6</f>
        <v>0</v>
      </c>
      <c r="AA6" s="319"/>
      <c r="AB6" s="320"/>
      <c r="AC6" s="318"/>
      <c r="AD6" s="244"/>
      <c r="AE6" s="318"/>
      <c r="AF6" s="244"/>
      <c r="AG6" s="318"/>
      <c r="AH6" s="244"/>
      <c r="AI6" s="415">
        <f>AC6+AE6+AG6</f>
        <v>0</v>
      </c>
      <c r="AJ6" s="416">
        <f>AD6+AF6+AH6</f>
        <v>0</v>
      </c>
      <c r="AK6" s="766">
        <f>AI6+AJ6</f>
        <v>0</v>
      </c>
    </row>
    <row r="7" spans="1:37" ht="12.75" customHeight="1">
      <c r="A7" s="148" t="s">
        <v>396</v>
      </c>
      <c r="B7" s="352" t="s">
        <v>397</v>
      </c>
      <c r="C7" s="767">
        <f aca="true" t="shared" si="7" ref="C7:C14">ROUND(AA7,0)</f>
        <v>0</v>
      </c>
      <c r="D7" s="768">
        <f t="shared" si="0"/>
        <v>0</v>
      </c>
      <c r="E7" s="769">
        <f t="shared" si="1"/>
        <v>0</v>
      </c>
      <c r="F7" s="770">
        <f t="shared" si="2"/>
        <v>0</v>
      </c>
      <c r="G7" s="769">
        <f t="shared" si="3"/>
        <v>0</v>
      </c>
      <c r="H7" s="770">
        <f t="shared" si="4"/>
        <v>0</v>
      </c>
      <c r="I7" s="769">
        <f t="shared" si="5"/>
        <v>0</v>
      </c>
      <c r="J7" s="770">
        <f t="shared" si="6"/>
        <v>0</v>
      </c>
      <c r="K7" s="415">
        <f aca="true" t="shared" si="8" ref="K7:K14">E7+G7+I7</f>
        <v>0</v>
      </c>
      <c r="L7" s="416">
        <f aca="true" t="shared" si="9" ref="L7:L14">F7+H7+J7</f>
        <v>0</v>
      </c>
      <c r="M7" s="766">
        <f aca="true" t="shared" si="10" ref="M7:M14">K7+L7</f>
        <v>0</v>
      </c>
      <c r="AA7" s="319"/>
      <c r="AB7" s="320"/>
      <c r="AC7" s="318"/>
      <c r="AD7" s="244"/>
      <c r="AE7" s="318"/>
      <c r="AF7" s="244"/>
      <c r="AG7" s="318"/>
      <c r="AH7" s="244"/>
      <c r="AI7" s="415">
        <f aca="true" t="shared" si="11" ref="AI7:AI14">AC7+AE7+AG7</f>
        <v>0</v>
      </c>
      <c r="AJ7" s="416">
        <f aca="true" t="shared" si="12" ref="AJ7:AJ14">AD7+AF7+AH7</f>
        <v>0</v>
      </c>
      <c r="AK7" s="766">
        <f aca="true" t="shared" si="13" ref="AK7:AK14">AI7+AJ7</f>
        <v>0</v>
      </c>
    </row>
    <row r="8" spans="1:37" ht="12.75" customHeight="1">
      <c r="A8" s="148" t="s">
        <v>398</v>
      </c>
      <c r="B8" s="352" t="s">
        <v>399</v>
      </c>
      <c r="C8" s="767">
        <f t="shared" si="7"/>
        <v>0</v>
      </c>
      <c r="D8" s="768">
        <f t="shared" si="0"/>
        <v>0</v>
      </c>
      <c r="E8" s="769">
        <f t="shared" si="1"/>
        <v>0</v>
      </c>
      <c r="F8" s="770">
        <f t="shared" si="2"/>
        <v>0</v>
      </c>
      <c r="G8" s="769">
        <f t="shared" si="3"/>
        <v>0</v>
      </c>
      <c r="H8" s="770">
        <f t="shared" si="4"/>
        <v>0</v>
      </c>
      <c r="I8" s="769">
        <f t="shared" si="5"/>
        <v>0</v>
      </c>
      <c r="J8" s="770">
        <f t="shared" si="6"/>
        <v>0</v>
      </c>
      <c r="K8" s="415">
        <f t="shared" si="8"/>
        <v>0</v>
      </c>
      <c r="L8" s="416">
        <f t="shared" si="9"/>
        <v>0</v>
      </c>
      <c r="M8" s="766">
        <f t="shared" si="10"/>
        <v>0</v>
      </c>
      <c r="AA8" s="319"/>
      <c r="AB8" s="320"/>
      <c r="AC8" s="318"/>
      <c r="AD8" s="244"/>
      <c r="AE8" s="318"/>
      <c r="AF8" s="244"/>
      <c r="AG8" s="318"/>
      <c r="AH8" s="244"/>
      <c r="AI8" s="415">
        <f t="shared" si="11"/>
        <v>0</v>
      </c>
      <c r="AJ8" s="416">
        <f t="shared" si="12"/>
        <v>0</v>
      </c>
      <c r="AK8" s="766">
        <f t="shared" si="13"/>
        <v>0</v>
      </c>
    </row>
    <row r="9" spans="1:37" ht="12.75" customHeight="1">
      <c r="A9" s="148" t="s">
        <v>400</v>
      </c>
      <c r="B9" s="352" t="s">
        <v>401</v>
      </c>
      <c r="C9" s="767">
        <f t="shared" si="7"/>
        <v>0</v>
      </c>
      <c r="D9" s="768">
        <f t="shared" si="0"/>
        <v>0</v>
      </c>
      <c r="E9" s="769">
        <f t="shared" si="1"/>
        <v>0</v>
      </c>
      <c r="F9" s="770">
        <f t="shared" si="2"/>
        <v>0</v>
      </c>
      <c r="G9" s="769">
        <f t="shared" si="3"/>
        <v>0</v>
      </c>
      <c r="H9" s="770">
        <f t="shared" si="4"/>
        <v>0</v>
      </c>
      <c r="I9" s="769">
        <f t="shared" si="5"/>
        <v>0</v>
      </c>
      <c r="J9" s="770">
        <f t="shared" si="6"/>
        <v>0</v>
      </c>
      <c r="K9" s="415">
        <f t="shared" si="8"/>
        <v>0</v>
      </c>
      <c r="L9" s="416">
        <f t="shared" si="9"/>
        <v>0</v>
      </c>
      <c r="M9" s="766">
        <f t="shared" si="10"/>
        <v>0</v>
      </c>
      <c r="AA9" s="319"/>
      <c r="AB9" s="320"/>
      <c r="AC9" s="318"/>
      <c r="AD9" s="244"/>
      <c r="AE9" s="318"/>
      <c r="AF9" s="244"/>
      <c r="AG9" s="318"/>
      <c r="AH9" s="244"/>
      <c r="AI9" s="415">
        <f t="shared" si="11"/>
        <v>0</v>
      </c>
      <c r="AJ9" s="416">
        <f t="shared" si="12"/>
        <v>0</v>
      </c>
      <c r="AK9" s="766">
        <f t="shared" si="13"/>
        <v>0</v>
      </c>
    </row>
    <row r="10" spans="1:37" ht="12.75" customHeight="1">
      <c r="A10" s="148" t="s">
        <v>402</v>
      </c>
      <c r="B10" s="352" t="s">
        <v>403</v>
      </c>
      <c r="C10" s="767">
        <f t="shared" si="7"/>
        <v>0</v>
      </c>
      <c r="D10" s="768">
        <f t="shared" si="0"/>
        <v>0</v>
      </c>
      <c r="E10" s="769">
        <f t="shared" si="1"/>
        <v>0</v>
      </c>
      <c r="F10" s="770">
        <f t="shared" si="2"/>
        <v>0</v>
      </c>
      <c r="G10" s="769">
        <f t="shared" si="3"/>
        <v>0</v>
      </c>
      <c r="H10" s="770">
        <f t="shared" si="4"/>
        <v>0</v>
      </c>
      <c r="I10" s="769">
        <f t="shared" si="5"/>
        <v>0</v>
      </c>
      <c r="J10" s="770">
        <f t="shared" si="6"/>
        <v>0</v>
      </c>
      <c r="K10" s="415">
        <f t="shared" si="8"/>
        <v>0</v>
      </c>
      <c r="L10" s="416">
        <f t="shared" si="9"/>
        <v>0</v>
      </c>
      <c r="M10" s="766">
        <f t="shared" si="10"/>
        <v>0</v>
      </c>
      <c r="AA10" s="319"/>
      <c r="AB10" s="320"/>
      <c r="AC10" s="318"/>
      <c r="AD10" s="244"/>
      <c r="AE10" s="318"/>
      <c r="AF10" s="244"/>
      <c r="AG10" s="318"/>
      <c r="AH10" s="244"/>
      <c r="AI10" s="415">
        <f t="shared" si="11"/>
        <v>0</v>
      </c>
      <c r="AJ10" s="416">
        <f t="shared" si="12"/>
        <v>0</v>
      </c>
      <c r="AK10" s="766">
        <f t="shared" si="13"/>
        <v>0</v>
      </c>
    </row>
    <row r="11" spans="1:37" ht="12.75" customHeight="1">
      <c r="A11" s="148" t="s">
        <v>404</v>
      </c>
      <c r="B11" s="352" t="s">
        <v>405</v>
      </c>
      <c r="C11" s="767">
        <f t="shared" si="7"/>
        <v>0</v>
      </c>
      <c r="D11" s="768">
        <f t="shared" si="0"/>
        <v>0</v>
      </c>
      <c r="E11" s="769">
        <f t="shared" si="1"/>
        <v>0</v>
      </c>
      <c r="F11" s="770">
        <f t="shared" si="2"/>
        <v>0</v>
      </c>
      <c r="G11" s="769">
        <f t="shared" si="3"/>
        <v>0</v>
      </c>
      <c r="H11" s="770">
        <f t="shared" si="4"/>
        <v>0</v>
      </c>
      <c r="I11" s="769">
        <f t="shared" si="5"/>
        <v>0</v>
      </c>
      <c r="J11" s="770">
        <f t="shared" si="6"/>
        <v>0</v>
      </c>
      <c r="K11" s="415">
        <f t="shared" si="8"/>
        <v>0</v>
      </c>
      <c r="L11" s="416">
        <f t="shared" si="9"/>
        <v>0</v>
      </c>
      <c r="M11" s="766">
        <f t="shared" si="10"/>
        <v>0</v>
      </c>
      <c r="AA11" s="319"/>
      <c r="AB11" s="320"/>
      <c r="AC11" s="318"/>
      <c r="AD11" s="244"/>
      <c r="AE11" s="318"/>
      <c r="AF11" s="244"/>
      <c r="AG11" s="318"/>
      <c r="AH11" s="244"/>
      <c r="AI11" s="415">
        <f t="shared" si="11"/>
        <v>0</v>
      </c>
      <c r="AJ11" s="416">
        <f t="shared" si="12"/>
        <v>0</v>
      </c>
      <c r="AK11" s="766">
        <f t="shared" si="13"/>
        <v>0</v>
      </c>
    </row>
    <row r="12" spans="1:37" ht="12.75" customHeight="1">
      <c r="A12" s="148" t="s">
        <v>406</v>
      </c>
      <c r="B12" s="352" t="s">
        <v>407</v>
      </c>
      <c r="C12" s="767">
        <f t="shared" si="7"/>
        <v>0</v>
      </c>
      <c r="D12" s="768">
        <f t="shared" si="0"/>
        <v>0</v>
      </c>
      <c r="E12" s="769">
        <f t="shared" si="1"/>
        <v>0</v>
      </c>
      <c r="F12" s="770">
        <f t="shared" si="2"/>
        <v>0</v>
      </c>
      <c r="G12" s="769">
        <f t="shared" si="3"/>
        <v>0</v>
      </c>
      <c r="H12" s="770">
        <f t="shared" si="4"/>
        <v>0</v>
      </c>
      <c r="I12" s="769">
        <f t="shared" si="5"/>
        <v>0</v>
      </c>
      <c r="J12" s="770">
        <f t="shared" si="6"/>
        <v>0</v>
      </c>
      <c r="K12" s="415">
        <f t="shared" si="8"/>
        <v>0</v>
      </c>
      <c r="L12" s="416">
        <f t="shared" si="9"/>
        <v>0</v>
      </c>
      <c r="M12" s="766">
        <f t="shared" si="10"/>
        <v>0</v>
      </c>
      <c r="AA12" s="319"/>
      <c r="AB12" s="320"/>
      <c r="AC12" s="318"/>
      <c r="AD12" s="244"/>
      <c r="AE12" s="318"/>
      <c r="AF12" s="244"/>
      <c r="AG12" s="318"/>
      <c r="AH12" s="244"/>
      <c r="AI12" s="415">
        <f t="shared" si="11"/>
        <v>0</v>
      </c>
      <c r="AJ12" s="416">
        <f t="shared" si="12"/>
        <v>0</v>
      </c>
      <c r="AK12" s="766">
        <f t="shared" si="13"/>
        <v>0</v>
      </c>
    </row>
    <row r="13" spans="1:37" ht="12.75" customHeight="1">
      <c r="A13" s="148" t="s">
        <v>408</v>
      </c>
      <c r="B13" s="352" t="s">
        <v>409</v>
      </c>
      <c r="C13" s="767">
        <f t="shared" si="7"/>
        <v>0</v>
      </c>
      <c r="D13" s="768">
        <f t="shared" si="0"/>
        <v>0</v>
      </c>
      <c r="E13" s="769">
        <f t="shared" si="1"/>
        <v>0</v>
      </c>
      <c r="F13" s="770">
        <f t="shared" si="2"/>
        <v>0</v>
      </c>
      <c r="G13" s="769">
        <f t="shared" si="3"/>
        <v>0</v>
      </c>
      <c r="H13" s="770">
        <f t="shared" si="4"/>
        <v>0</v>
      </c>
      <c r="I13" s="769">
        <f t="shared" si="5"/>
        <v>0</v>
      </c>
      <c r="J13" s="770">
        <f t="shared" si="6"/>
        <v>0</v>
      </c>
      <c r="K13" s="415">
        <f t="shared" si="8"/>
        <v>0</v>
      </c>
      <c r="L13" s="416">
        <f t="shared" si="9"/>
        <v>0</v>
      </c>
      <c r="M13" s="766">
        <f t="shared" si="10"/>
        <v>0</v>
      </c>
      <c r="AA13" s="319"/>
      <c r="AB13" s="320"/>
      <c r="AC13" s="318"/>
      <c r="AD13" s="244"/>
      <c r="AE13" s="318"/>
      <c r="AF13" s="244"/>
      <c r="AG13" s="318"/>
      <c r="AH13" s="244"/>
      <c r="AI13" s="415">
        <f t="shared" si="11"/>
        <v>0</v>
      </c>
      <c r="AJ13" s="416">
        <f t="shared" si="12"/>
        <v>0</v>
      </c>
      <c r="AK13" s="766">
        <f t="shared" si="13"/>
        <v>0</v>
      </c>
    </row>
    <row r="14" spans="1:37" ht="12.75" customHeight="1" thickBot="1">
      <c r="A14" s="148" t="s">
        <v>410</v>
      </c>
      <c r="B14" s="352" t="s">
        <v>411</v>
      </c>
      <c r="C14" s="767">
        <f t="shared" si="7"/>
        <v>0</v>
      </c>
      <c r="D14" s="768">
        <f t="shared" si="0"/>
        <v>0</v>
      </c>
      <c r="E14" s="769">
        <f t="shared" si="1"/>
        <v>0</v>
      </c>
      <c r="F14" s="770">
        <f t="shared" si="2"/>
        <v>0</v>
      </c>
      <c r="G14" s="769">
        <f t="shared" si="3"/>
        <v>0</v>
      </c>
      <c r="H14" s="770">
        <f t="shared" si="4"/>
        <v>0</v>
      </c>
      <c r="I14" s="769">
        <f t="shared" si="5"/>
        <v>0</v>
      </c>
      <c r="J14" s="770">
        <f t="shared" si="6"/>
        <v>0</v>
      </c>
      <c r="K14" s="415">
        <f t="shared" si="8"/>
        <v>0</v>
      </c>
      <c r="L14" s="416">
        <f t="shared" si="9"/>
        <v>0</v>
      </c>
      <c r="M14" s="766">
        <f t="shared" si="10"/>
        <v>0</v>
      </c>
      <c r="AA14" s="319"/>
      <c r="AB14" s="320"/>
      <c r="AC14" s="318"/>
      <c r="AD14" s="244"/>
      <c r="AE14" s="318"/>
      <c r="AF14" s="244"/>
      <c r="AG14" s="318"/>
      <c r="AH14" s="244"/>
      <c r="AI14" s="415">
        <f t="shared" si="11"/>
        <v>0</v>
      </c>
      <c r="AJ14" s="416">
        <f t="shared" si="12"/>
        <v>0</v>
      </c>
      <c r="AK14" s="766">
        <f t="shared" si="13"/>
        <v>0</v>
      </c>
    </row>
    <row r="15" spans="1:36" ht="15.75" customHeight="1" thickBot="1" thickTop="1">
      <c r="A15" s="290" t="s">
        <v>59</v>
      </c>
      <c r="B15" s="13"/>
      <c r="C15" s="417">
        <f aca="true" t="shared" si="14" ref="C15:L15">SUM(C6:C14)</f>
        <v>0</v>
      </c>
      <c r="D15" s="418">
        <f t="shared" si="14"/>
        <v>0</v>
      </c>
      <c r="E15" s="417">
        <f t="shared" si="14"/>
        <v>0</v>
      </c>
      <c r="F15" s="418">
        <f t="shared" si="14"/>
        <v>0</v>
      </c>
      <c r="G15" s="417">
        <f t="shared" si="14"/>
        <v>0</v>
      </c>
      <c r="H15" s="418">
        <f t="shared" si="14"/>
        <v>0</v>
      </c>
      <c r="I15" s="417">
        <f t="shared" si="14"/>
        <v>0</v>
      </c>
      <c r="J15" s="418">
        <f t="shared" si="14"/>
        <v>0</v>
      </c>
      <c r="K15" s="417">
        <f t="shared" si="14"/>
        <v>0</v>
      </c>
      <c r="L15" s="419">
        <f t="shared" si="14"/>
        <v>0</v>
      </c>
      <c r="AA15" s="417">
        <f aca="true" t="shared" si="15" ref="AA15:AJ15">SUM(AA6:AA14)</f>
        <v>0</v>
      </c>
      <c r="AB15" s="418">
        <f t="shared" si="15"/>
        <v>0</v>
      </c>
      <c r="AC15" s="417">
        <f t="shared" si="15"/>
        <v>0</v>
      </c>
      <c r="AD15" s="418">
        <f t="shared" si="15"/>
        <v>0</v>
      </c>
      <c r="AE15" s="417">
        <f t="shared" si="15"/>
        <v>0</v>
      </c>
      <c r="AF15" s="418">
        <f t="shared" si="15"/>
        <v>0</v>
      </c>
      <c r="AG15" s="417">
        <f t="shared" si="15"/>
        <v>0</v>
      </c>
      <c r="AH15" s="418">
        <f t="shared" si="15"/>
        <v>0</v>
      </c>
      <c r="AI15" s="417">
        <f t="shared" si="15"/>
        <v>0</v>
      </c>
      <c r="AJ15" s="419">
        <f t="shared" si="15"/>
        <v>0</v>
      </c>
    </row>
    <row r="16" ht="11.25">
      <c r="A16" s="721" t="str">
        <f>"(*) inserire i dati comunicati nella tab.1 (colonna presenti al 31/12/"&amp;L1-1&amp;") della rilevazione dell'anno precedente"</f>
        <v>(*) inserire i dati comunicati nella tab.1 (colonna presenti al 31/12/2018) della rilevazione dell'anno precedente</v>
      </c>
    </row>
    <row r="17" ht="11.25">
      <c r="A17" s="5" t="s">
        <v>132</v>
      </c>
    </row>
    <row r="18" spans="4:28" ht="12.75">
      <c r="D18" s="722"/>
      <c r="AB18" s="722"/>
    </row>
  </sheetData>
  <sheetProtection password="EA98" sheet="1" formatColumns="0" selectLockedCells="1"/>
  <mergeCells count="4">
    <mergeCell ref="C3:L3"/>
    <mergeCell ref="G2:L2"/>
    <mergeCell ref="AE2:AJ2"/>
    <mergeCell ref="AA3:AJ3"/>
  </mergeCells>
  <conditionalFormatting sqref="AA6:AJ14 A6:L14">
    <cfRule type="expression" priority="2" dxfId="4"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5"/>
  <dimension ref="A1:M15"/>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03" t="str">
        <f>'t1'!A1</f>
        <v>MAGISTRATURA ORDINARIA - anno 2019</v>
      </c>
      <c r="B1" s="903"/>
      <c r="C1" s="903"/>
      <c r="D1" s="903"/>
      <c r="E1" s="903"/>
      <c r="F1" s="903"/>
      <c r="G1" s="903"/>
      <c r="H1" s="308"/>
      <c r="I1" s="305"/>
      <c r="K1" s="3"/>
      <c r="M1"/>
    </row>
    <row r="2" spans="2:13" ht="12.75" customHeight="1">
      <c r="B2" s="5"/>
      <c r="C2" s="5"/>
      <c r="D2" s="976"/>
      <c r="E2" s="976"/>
      <c r="F2" s="976"/>
      <c r="G2" s="976"/>
      <c r="H2" s="976"/>
      <c r="I2" s="976"/>
      <c r="J2" s="309"/>
      <c r="K2" s="3"/>
      <c r="M2"/>
    </row>
    <row r="3" spans="1:9" ht="21" customHeight="1">
      <c r="A3" s="190" t="s">
        <v>234</v>
      </c>
      <c r="C3" s="5"/>
      <c r="D3" s="5"/>
      <c r="E3" s="5"/>
      <c r="F3" s="5"/>
      <c r="G3" s="5"/>
      <c r="H3" s="5"/>
      <c r="I3" s="5"/>
    </row>
    <row r="4" spans="1:9" ht="49.5" customHeight="1">
      <c r="A4" s="178" t="s">
        <v>173</v>
      </c>
      <c r="B4" s="178" t="s">
        <v>172</v>
      </c>
      <c r="C4" s="178" t="str">
        <f>"Presenti 31.12 anno precedente (Tab 1)"</f>
        <v>Presenti 31.12 anno precedente (Tab 1)</v>
      </c>
      <c r="D4" s="178" t="s">
        <v>194</v>
      </c>
      <c r="E4" s="178" t="s">
        <v>195</v>
      </c>
      <c r="F4" s="178" t="s">
        <v>196</v>
      </c>
      <c r="G4" s="178" t="s">
        <v>207</v>
      </c>
      <c r="H4" s="178" t="s">
        <v>197</v>
      </c>
      <c r="I4" s="178" t="s">
        <v>167</v>
      </c>
    </row>
    <row r="5" spans="1:9" ht="11.25">
      <c r="A5" s="178"/>
      <c r="B5" s="178"/>
      <c r="C5" s="188" t="s">
        <v>174</v>
      </c>
      <c r="D5" s="188" t="s">
        <v>175</v>
      </c>
      <c r="E5" s="188" t="s">
        <v>176</v>
      </c>
      <c r="F5" s="188" t="s">
        <v>177</v>
      </c>
      <c r="G5" s="188" t="s">
        <v>206</v>
      </c>
      <c r="H5" s="188" t="s">
        <v>198</v>
      </c>
      <c r="I5" s="188" t="s">
        <v>199</v>
      </c>
    </row>
    <row r="6" spans="1:9" ht="12.75" customHeight="1">
      <c r="A6" s="131" t="str">
        <f>'t1'!A6</f>
        <v>MAGIST.  CON FUNZ. DIRETT. APICALI GIUDICANTI DI LEGITTIMITÀ</v>
      </c>
      <c r="B6" s="180" t="str">
        <f>'t1'!B6</f>
        <v>0D0MT1</v>
      </c>
      <c r="C6" s="332">
        <f>'t1'!C6+'t1'!D6</f>
        <v>0</v>
      </c>
      <c r="D6" s="332">
        <f>'t5'!S7+'t5'!T7</f>
        <v>0</v>
      </c>
      <c r="E6" s="333">
        <f>'t6'!U7+'t6'!V7</f>
        <v>0</v>
      </c>
      <c r="F6" s="333">
        <f>'t4'!C15</f>
        <v>0</v>
      </c>
      <c r="G6" s="333">
        <f>C6-D6+E6+F6</f>
        <v>0</v>
      </c>
      <c r="H6" s="333">
        <f>'t4'!L6</f>
        <v>0</v>
      </c>
      <c r="I6" s="171" t="str">
        <f>IF(H6&lt;=G6,"OK","ERRORE")</f>
        <v>OK</v>
      </c>
    </row>
    <row r="7" spans="1:9" ht="12.75" customHeight="1">
      <c r="A7" s="131" t="str">
        <f>'t1'!A7</f>
        <v>MAGIST. CON FUNZ. DIRETT. APICALI REQUIRENTI DI LEGITTIMITÀ</v>
      </c>
      <c r="B7" s="180" t="str">
        <f>'t1'!B7</f>
        <v>0D0MT2</v>
      </c>
      <c r="C7" s="332">
        <f>'t1'!C7+'t1'!D7</f>
        <v>0</v>
      </c>
      <c r="D7" s="332">
        <f>'t5'!S8+'t5'!T8</f>
        <v>0</v>
      </c>
      <c r="E7" s="333">
        <f>'t6'!U8+'t6'!V8</f>
        <v>0</v>
      </c>
      <c r="F7" s="333">
        <f>'t4'!D15</f>
        <v>0</v>
      </c>
      <c r="G7" s="333">
        <f>C7-D7+E7+F7</f>
        <v>0</v>
      </c>
      <c r="H7" s="333">
        <f>'t4'!L7</f>
        <v>0</v>
      </c>
      <c r="I7" s="171" t="str">
        <f aca="true" t="shared" si="0" ref="I7:I14">IF(H7&lt;=G7,"OK","ERRORE")</f>
        <v>OK</v>
      </c>
    </row>
    <row r="8" spans="1:9" ht="12.75" customHeight="1">
      <c r="A8" s="131" t="str">
        <f>'t1'!A8</f>
        <v>MAGISTRATI CON FUNZIONI DIRETTIVE SUPERIORI DI LEGITTIMITÀ</v>
      </c>
      <c r="B8" s="180" t="str">
        <f>'t1'!B8</f>
        <v>0D0MT3</v>
      </c>
      <c r="C8" s="332">
        <f>'t1'!C8+'t1'!D8</f>
        <v>0</v>
      </c>
      <c r="D8" s="332">
        <f>'t5'!S9+'t5'!T9</f>
        <v>0</v>
      </c>
      <c r="E8" s="333">
        <f>'t6'!U9+'t6'!V9</f>
        <v>0</v>
      </c>
      <c r="F8" s="333">
        <f>'t4'!E15</f>
        <v>0</v>
      </c>
      <c r="G8" s="333">
        <f aca="true" t="shared" si="1" ref="G8:G14">C8-D8+E8+F8</f>
        <v>0</v>
      </c>
      <c r="H8" s="333">
        <f>'t4'!L8</f>
        <v>0</v>
      </c>
      <c r="I8" s="171" t="str">
        <f t="shared" si="0"/>
        <v>OK</v>
      </c>
    </row>
    <row r="9" spans="1:9" ht="12.75" customHeight="1">
      <c r="A9" s="131" t="str">
        <f>'t1'!A9</f>
        <v>MAGISTRATI ORDINARI VII VALUT. PROF.</v>
      </c>
      <c r="B9" s="180" t="str">
        <f>'t1'!B9</f>
        <v>0D0MT4</v>
      </c>
      <c r="C9" s="332">
        <f>'t1'!C9+'t1'!D9</f>
        <v>0</v>
      </c>
      <c r="D9" s="332">
        <f>'t5'!S10+'t5'!T10</f>
        <v>0</v>
      </c>
      <c r="E9" s="333">
        <f>'t6'!U10+'t6'!V10</f>
        <v>0</v>
      </c>
      <c r="F9" s="333">
        <f>'t4'!F15</f>
        <v>0</v>
      </c>
      <c r="G9" s="333">
        <f t="shared" si="1"/>
        <v>0</v>
      </c>
      <c r="H9" s="333">
        <f>'t4'!L9</f>
        <v>0</v>
      </c>
      <c r="I9" s="171" t="str">
        <f t="shared" si="0"/>
        <v>OK</v>
      </c>
    </row>
    <row r="10" spans="1:9" ht="12.75" customHeight="1">
      <c r="A10" s="131" t="str">
        <f>'t1'!A10</f>
        <v>MAGISTRATI ORDINARI V VALUT. PROF.</v>
      </c>
      <c r="B10" s="180" t="str">
        <f>'t1'!B10</f>
        <v>0D0MT5</v>
      </c>
      <c r="C10" s="332">
        <f>'t1'!C10+'t1'!D10</f>
        <v>0</v>
      </c>
      <c r="D10" s="332">
        <f>'t5'!S11+'t5'!T11</f>
        <v>0</v>
      </c>
      <c r="E10" s="333">
        <f>'t6'!U11+'t6'!V11</f>
        <v>0</v>
      </c>
      <c r="F10" s="333">
        <f>'t4'!G15</f>
        <v>0</v>
      </c>
      <c r="G10" s="333">
        <f t="shared" si="1"/>
        <v>0</v>
      </c>
      <c r="H10" s="333">
        <f>'t4'!L10</f>
        <v>0</v>
      </c>
      <c r="I10" s="171" t="str">
        <f t="shared" si="0"/>
        <v>OK</v>
      </c>
    </row>
    <row r="11" spans="1:9" ht="12.75" customHeight="1">
      <c r="A11" s="131" t="str">
        <f>'t1'!A11</f>
        <v>MAGISTRATI ORDINARI DOPO 1 ANNO DALLA III VALUT. PROF.</v>
      </c>
      <c r="B11" s="180" t="str">
        <f>'t1'!B11</f>
        <v>0D0MT6</v>
      </c>
      <c r="C11" s="332">
        <f>'t1'!C11+'t1'!D11</f>
        <v>0</v>
      </c>
      <c r="D11" s="332">
        <f>'t5'!S12+'t5'!T12</f>
        <v>0</v>
      </c>
      <c r="E11" s="333">
        <f>'t6'!U12+'t6'!V12</f>
        <v>0</v>
      </c>
      <c r="F11" s="333">
        <f>'t4'!H15</f>
        <v>0</v>
      </c>
      <c r="G11" s="333">
        <f t="shared" si="1"/>
        <v>0</v>
      </c>
      <c r="H11" s="333">
        <f>'t4'!L11</f>
        <v>0</v>
      </c>
      <c r="I11" s="171" t="str">
        <f t="shared" si="0"/>
        <v>OK</v>
      </c>
    </row>
    <row r="12" spans="1:9" ht="12.75" customHeight="1">
      <c r="A12" s="131" t="str">
        <f>'t1'!A12</f>
        <v>MAGISTRATI ORDINARI  I  VALUT. PROF.</v>
      </c>
      <c r="B12" s="180" t="str">
        <f>'t1'!B12</f>
        <v>0D0MT7</v>
      </c>
      <c r="C12" s="332">
        <f>'t1'!C12+'t1'!D12</f>
        <v>0</v>
      </c>
      <c r="D12" s="332">
        <f>'t5'!S13+'t5'!T13</f>
        <v>0</v>
      </c>
      <c r="E12" s="333">
        <f>'t6'!U13+'t6'!V13</f>
        <v>0</v>
      </c>
      <c r="F12" s="333">
        <f>'t4'!I15</f>
        <v>0</v>
      </c>
      <c r="G12" s="333">
        <f t="shared" si="1"/>
        <v>0</v>
      </c>
      <c r="H12" s="333">
        <f>'t4'!L12</f>
        <v>0</v>
      </c>
      <c r="I12" s="171" t="str">
        <f t="shared" si="0"/>
        <v>OK</v>
      </c>
    </row>
    <row r="13" spans="1:9" ht="12.75" customHeight="1">
      <c r="A13" s="131" t="str">
        <f>'t1'!A13</f>
        <v>MAGISTRATI ORDINARI</v>
      </c>
      <c r="B13" s="180" t="str">
        <f>'t1'!B13</f>
        <v>0D0MT8</v>
      </c>
      <c r="C13" s="332">
        <f>'t1'!C13+'t1'!D13</f>
        <v>0</v>
      </c>
      <c r="D13" s="332">
        <f>'t5'!S14+'t5'!T14</f>
        <v>0</v>
      </c>
      <c r="E13" s="333">
        <f>'t6'!U14+'t6'!V14</f>
        <v>0</v>
      </c>
      <c r="F13" s="333">
        <f>'t4'!J15</f>
        <v>0</v>
      </c>
      <c r="G13" s="333">
        <f t="shared" si="1"/>
        <v>0</v>
      </c>
      <c r="H13" s="333">
        <f>'t4'!L13</f>
        <v>0</v>
      </c>
      <c r="I13" s="171" t="str">
        <f t="shared" si="0"/>
        <v>OK</v>
      </c>
    </row>
    <row r="14" spans="1:9" ht="12.75" customHeight="1">
      <c r="A14" s="131" t="str">
        <f>'t1'!A14</f>
        <v>MAGISTRATI ORDINARI IN TIROCINIO</v>
      </c>
      <c r="B14" s="180" t="str">
        <f>'t1'!B14</f>
        <v>0D0MT9</v>
      </c>
      <c r="C14" s="332">
        <f>'t1'!C14+'t1'!D14</f>
        <v>0</v>
      </c>
      <c r="D14" s="332">
        <f>'t5'!S15+'t5'!T15</f>
        <v>0</v>
      </c>
      <c r="E14" s="333">
        <f>'t6'!U15+'t6'!V15</f>
        <v>0</v>
      </c>
      <c r="F14" s="333">
        <f>'t4'!K15</f>
        <v>0</v>
      </c>
      <c r="G14" s="333">
        <f t="shared" si="1"/>
        <v>0</v>
      </c>
      <c r="H14" s="333">
        <f>'t4'!L14</f>
        <v>0</v>
      </c>
      <c r="I14" s="171" t="str">
        <f t="shared" si="0"/>
        <v>OK</v>
      </c>
    </row>
    <row r="15" spans="1:9" s="339" customFormat="1" ht="15.75" customHeight="1">
      <c r="A15" s="644" t="str">
        <f>'t1'!A15</f>
        <v>TOTALE</v>
      </c>
      <c r="B15" s="200"/>
      <c r="C15" s="356">
        <f aca="true" t="shared" si="2" ref="C15:H15">SUM(C6:C14)</f>
        <v>0</v>
      </c>
      <c r="D15" s="356">
        <f t="shared" si="2"/>
        <v>0</v>
      </c>
      <c r="E15" s="356">
        <f t="shared" si="2"/>
        <v>0</v>
      </c>
      <c r="F15" s="356">
        <f t="shared" si="2"/>
        <v>0</v>
      </c>
      <c r="G15" s="356">
        <f t="shared" si="2"/>
        <v>0</v>
      </c>
      <c r="H15" s="356">
        <f t="shared" si="2"/>
        <v>0</v>
      </c>
      <c r="I15" s="172" t="str">
        <f>IF(H15&lt;=G15,"OK","ERRORE")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1.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03" t="str">
        <f>'t1'!A1</f>
        <v>MAGISTRATURA ORDINARIA - anno 2019</v>
      </c>
      <c r="B1" s="903"/>
      <c r="C1" s="903"/>
      <c r="D1" s="903"/>
      <c r="E1" s="305"/>
      <c r="F1" s="308"/>
      <c r="G1" s="308"/>
      <c r="H1" s="308"/>
      <c r="I1" s="308"/>
      <c r="K1" s="3"/>
      <c r="M1"/>
    </row>
    <row r="2" spans="1:13" ht="16.5" thickBot="1">
      <c r="A2" s="794" t="s">
        <v>489</v>
      </c>
      <c r="C2" s="976"/>
      <c r="D2" s="976"/>
      <c r="E2" s="976"/>
      <c r="F2" s="309"/>
      <c r="G2" s="309"/>
      <c r="H2" s="309"/>
      <c r="I2" s="309"/>
      <c r="K2" s="3"/>
      <c r="M2"/>
    </row>
    <row r="3" spans="1:5" ht="30" customHeight="1" thickBot="1">
      <c r="A3" s="984" t="s">
        <v>490</v>
      </c>
      <c r="B3" s="985"/>
      <c r="C3" s="985"/>
      <c r="D3" s="985"/>
      <c r="E3" s="986"/>
    </row>
    <row r="4" spans="1:5" s="191" customFormat="1" ht="31.5">
      <c r="A4" s="595" t="s">
        <v>491</v>
      </c>
      <c r="B4" s="596" t="s">
        <v>492</v>
      </c>
      <c r="C4" s="596" t="s">
        <v>208</v>
      </c>
      <c r="D4" s="597" t="s">
        <v>209</v>
      </c>
      <c r="E4" s="598" t="s">
        <v>376</v>
      </c>
    </row>
    <row r="5" spans="1:5" ht="20.25" customHeight="1">
      <c r="A5" s="195" t="s">
        <v>36</v>
      </c>
      <c r="B5" s="743">
        <f>SI_1!G56</f>
        <v>0</v>
      </c>
      <c r="C5" s="198">
        <f>'t14'!D12</f>
        <v>0</v>
      </c>
      <c r="D5" s="201" t="str">
        <f>IF(B5=0,IF(C5=0,"OK","MANCANO LE UNITA'"),IF(C5=0,"MANCANO LE SPESE","OK"))</f>
        <v>OK</v>
      </c>
      <c r="E5" s="197" t="str">
        <f>IF(AND(B5&gt;0,C5&gt;0),C5/B5," ")</f>
        <v> </v>
      </c>
    </row>
    <row r="6" spans="1:5" ht="20.25" customHeight="1">
      <c r="A6" s="195" t="s">
        <v>11</v>
      </c>
      <c r="B6" s="743">
        <f>SI_1!G59</f>
        <v>0</v>
      </c>
      <c r="C6" s="198">
        <f>'t14'!D13</f>
        <v>0</v>
      </c>
      <c r="D6" s="201" t="str">
        <f>IF(B6=0,IF(C6=0,"OK","MANCANO LE UNITA'"),IF(C6=0,"MANCANO LE SPESE","OK"))</f>
        <v>OK</v>
      </c>
      <c r="E6" s="197" t="str">
        <f>IF(AND(B6&gt;0,C6&gt;0),C6/B6," ")</f>
        <v> </v>
      </c>
    </row>
    <row r="7" spans="1:5" ht="20.25" customHeight="1" thickBot="1">
      <c r="A7" s="196" t="s">
        <v>12</v>
      </c>
      <c r="B7" s="744">
        <f>SI_1!G62</f>
        <v>0</v>
      </c>
      <c r="C7" s="199">
        <f>'t14'!D14</f>
        <v>0</v>
      </c>
      <c r="D7" s="202" t="str">
        <f>IF(B7=0,IF(C7=0,"OK","MANCANO LE UNITA'"),IF(C7=0,"MANCANO LE SPESE","OK"))</f>
        <v>OK</v>
      </c>
      <c r="E7" s="493" t="str">
        <f>IF(AND(B7&gt;0,C7&gt;0),C7/B7," ")</f>
        <v> </v>
      </c>
    </row>
    <row r="10" ht="18.75" thickBot="1">
      <c r="A10" s="795" t="s">
        <v>493</v>
      </c>
    </row>
    <row r="11" spans="1:5" ht="30" customHeight="1" thickBot="1">
      <c r="A11" s="984" t="s">
        <v>494</v>
      </c>
      <c r="B11" s="985"/>
      <c r="C11" s="985"/>
      <c r="D11" s="985"/>
      <c r="E11" s="986"/>
    </row>
    <row r="12" spans="1:5" s="191" customFormat="1" ht="32.25" hidden="1" thickBot="1">
      <c r="A12" s="595" t="s">
        <v>495</v>
      </c>
      <c r="B12" s="596" t="s">
        <v>496</v>
      </c>
      <c r="C12" s="596" t="s">
        <v>208</v>
      </c>
      <c r="D12" s="597" t="s">
        <v>209</v>
      </c>
      <c r="E12" s="598" t="s">
        <v>376</v>
      </c>
    </row>
    <row r="13" spans="1:5" ht="20.25" customHeight="1" hidden="1">
      <c r="A13" s="796"/>
      <c r="B13" s="797"/>
      <c r="C13" s="798"/>
      <c r="D13" s="799" t="s">
        <v>497</v>
      </c>
      <c r="E13" s="800"/>
    </row>
    <row r="14" spans="1:5" ht="20.25" customHeight="1" hidden="1">
      <c r="A14" s="796"/>
      <c r="B14" s="743"/>
      <c r="C14" s="198"/>
      <c r="D14" s="801" t="s">
        <v>497</v>
      </c>
      <c r="E14" s="802"/>
    </row>
    <row r="15" spans="1:5" ht="20.25" customHeight="1" hidden="1">
      <c r="A15" s="796"/>
      <c r="B15" s="743"/>
      <c r="C15" s="198"/>
      <c r="D15" s="801" t="s">
        <v>497</v>
      </c>
      <c r="E15" s="802"/>
    </row>
    <row r="16" spans="1:5" ht="20.25" customHeight="1" hidden="1">
      <c r="A16" s="796"/>
      <c r="B16" s="743"/>
      <c r="C16" s="198"/>
      <c r="D16" s="801" t="s">
        <v>497</v>
      </c>
      <c r="E16" s="802"/>
    </row>
    <row r="17" spans="1:5" ht="13.5" customHeight="1" hidden="1" thickBot="1">
      <c r="A17" s="803"/>
      <c r="B17" s="804"/>
      <c r="C17" s="804"/>
      <c r="D17" s="804"/>
      <c r="E17" s="805"/>
    </row>
    <row r="18" spans="1:5" s="191" customFormat="1" ht="31.5">
      <c r="A18" s="495" t="s">
        <v>374</v>
      </c>
      <c r="B18" s="496" t="s">
        <v>375</v>
      </c>
      <c r="C18" s="496" t="s">
        <v>208</v>
      </c>
      <c r="D18" s="497" t="s">
        <v>378</v>
      </c>
      <c r="E18" s="619" t="s">
        <v>377</v>
      </c>
    </row>
    <row r="19" spans="1:5" ht="27.75" customHeight="1">
      <c r="A19" s="594" t="str">
        <f>'t14'!A10</f>
        <v>SOMME CORRISPOSTE AD AGENZIA DI SOMMINISTRAZIONE(INTERINALI)</v>
      </c>
      <c r="B19" s="171" t="str">
        <f>'t14'!B10</f>
        <v>L105</v>
      </c>
      <c r="C19" s="637">
        <f>'t14'!D10</f>
        <v>0</v>
      </c>
      <c r="D19" s="620" t="str">
        <f>(IF(AND(C19=0,C20&gt;0),"INSERIRE SOMME SPETTANTI ALL'AGENZIA (L105)","OK"))</f>
        <v>OK</v>
      </c>
      <c r="E19" s="987" t="str">
        <f>(IF(AND(C19&gt;0,C20&gt;0),C19/C20," "))</f>
        <v> </v>
      </c>
    </row>
    <row r="20" spans="1:5" ht="27.75" customHeight="1">
      <c r="A20" s="599" t="str">
        <f>'t14'!A23</f>
        <v>ONERI PER I CONTRATTI DI SOMMINISTRAZIONE(INTERINALI)</v>
      </c>
      <c r="B20" s="600" t="str">
        <f>'t14'!B23</f>
        <v>P062</v>
      </c>
      <c r="C20" s="638">
        <f>'t14'!D23</f>
        <v>0</v>
      </c>
      <c r="D20" s="621" t="str">
        <f>(IF(AND(C20=0,C19&gt;0),"INSERIRE RETRIBUZIONI PER INTERINALI (P062)","OK"))</f>
        <v>OK</v>
      </c>
      <c r="E20" s="988"/>
    </row>
    <row r="21" spans="1:5" ht="40.5" customHeight="1" thickBot="1">
      <c r="A21" s="990" t="s">
        <v>387</v>
      </c>
      <c r="B21" s="991"/>
      <c r="C21" s="992"/>
      <c r="D21" s="622" t="str">
        <f>(IF(AND(C19&gt;0,C20&gt;0),IF(C19&gt;(C20/100*30),"ATTENZIONE: la voce L105 supera il 30% della voce P062. L'IN1 andrà giustificata","OK"),"OK"))</f>
        <v>OK</v>
      </c>
      <c r="E21" s="989"/>
    </row>
  </sheetData>
  <sheetProtection password="EA98" sheet="1" formatColumns="0" selectLockedCells="1" selectUnlockedCells="1"/>
  <mergeCells count="6">
    <mergeCell ref="A3:E3"/>
    <mergeCell ref="A1:D1"/>
    <mergeCell ref="C2:E2"/>
    <mergeCell ref="E19:E21"/>
    <mergeCell ref="A21:C21"/>
    <mergeCell ref="A11:E11"/>
  </mergeCells>
  <conditionalFormatting sqref="D13:D16">
    <cfRule type="notContainsText" priority="2" dxfId="6" operator="notContains" stopIfTrue="1" text="OK">
      <formula>ISERROR(SEARCH("OK",D13))</formula>
    </cfRule>
  </conditionalFormatting>
  <conditionalFormatting sqref="D19:D21 D5:D7">
    <cfRule type="notContainsText" priority="1" dxfId="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2.xml><?xml version="1.0" encoding="utf-8"?>
<worksheet xmlns="http://schemas.openxmlformats.org/spreadsheetml/2006/main" xmlns:r="http://schemas.openxmlformats.org/officeDocument/2006/relationships">
  <sheetPr codeName="Foglio27"/>
  <dimension ref="A1:M14"/>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1.33203125" style="7" customWidth="1"/>
    <col min="3" max="3" width="13.16015625" style="7" customWidth="1"/>
    <col min="4" max="4" width="17.83203125" style="7" customWidth="1"/>
    <col min="5" max="6" width="15.83203125" style="7" customWidth="1"/>
    <col min="7" max="8" width="15.83203125" style="102" customWidth="1"/>
    <col min="9" max="9" width="18.33203125" style="102" customWidth="1"/>
    <col min="10" max="10" width="9.33203125" style="102" customWidth="1"/>
  </cols>
  <sheetData>
    <row r="1" spans="1:13" s="5" customFormat="1" ht="43.5" customHeight="1">
      <c r="A1" s="903" t="str">
        <f>'t1'!A1</f>
        <v>MAGISTRATURA ORDINARIA - anno 2019</v>
      </c>
      <c r="B1" s="903"/>
      <c r="C1" s="903"/>
      <c r="D1" s="903"/>
      <c r="E1" s="903"/>
      <c r="F1" s="903"/>
      <c r="G1" s="903"/>
      <c r="H1" s="903"/>
      <c r="I1" s="305"/>
      <c r="K1" s="3"/>
      <c r="M1"/>
    </row>
    <row r="2" spans="4:13" s="5" customFormat="1" ht="12.75" customHeight="1">
      <c r="D2" s="976"/>
      <c r="E2" s="976"/>
      <c r="F2" s="976"/>
      <c r="G2" s="976"/>
      <c r="H2" s="976"/>
      <c r="I2" s="976"/>
      <c r="J2" s="309"/>
      <c r="K2" s="3"/>
      <c r="M2"/>
    </row>
    <row r="3" spans="1:6" s="5" customFormat="1" ht="21" customHeight="1">
      <c r="A3" s="190" t="s">
        <v>235</v>
      </c>
      <c r="B3" s="7"/>
      <c r="F3" s="7"/>
    </row>
    <row r="4" spans="1:9" ht="56.25">
      <c r="A4" s="176" t="s">
        <v>210</v>
      </c>
      <c r="B4" s="178" t="s">
        <v>172</v>
      </c>
      <c r="C4" s="177" t="s">
        <v>211</v>
      </c>
      <c r="D4" s="177" t="s">
        <v>215</v>
      </c>
      <c r="E4" s="177" t="s">
        <v>216</v>
      </c>
      <c r="F4" s="177" t="s">
        <v>217</v>
      </c>
      <c r="G4" s="177" t="s">
        <v>171</v>
      </c>
      <c r="H4" s="177" t="s">
        <v>218</v>
      </c>
      <c r="I4" s="177" t="s">
        <v>345</v>
      </c>
    </row>
    <row r="5" spans="1:10" s="194" customFormat="1" ht="10.5">
      <c r="A5" s="175"/>
      <c r="B5" s="188"/>
      <c r="C5" s="192" t="s">
        <v>174</v>
      </c>
      <c r="D5" s="192" t="s">
        <v>175</v>
      </c>
      <c r="E5" s="192" t="s">
        <v>212</v>
      </c>
      <c r="F5" s="192" t="s">
        <v>177</v>
      </c>
      <c r="G5" s="192" t="s">
        <v>213</v>
      </c>
      <c r="H5" s="192" t="s">
        <v>214</v>
      </c>
      <c r="I5" s="192" t="s">
        <v>346</v>
      </c>
      <c r="J5" s="193"/>
    </row>
    <row r="6" spans="1:9" ht="12.75">
      <c r="A6" s="131" t="str">
        <f>'t1'!A6</f>
        <v>MAGIST.  CON FUNZ. DIRETT. APICALI GIUDICANTI DI LEGITTIMITÀ</v>
      </c>
      <c r="B6" s="311" t="str">
        <f>'t1'!B6</f>
        <v>0D0MT1</v>
      </c>
      <c r="C6" s="334">
        <f>'t12'!C6</f>
        <v>0</v>
      </c>
      <c r="D6" s="335">
        <f>'t12'!D6</f>
        <v>0</v>
      </c>
      <c r="E6" s="336" t="str">
        <f>IF(C6=0," ",D6/C6*12)</f>
        <v> </v>
      </c>
      <c r="F6" s="355">
        <v>91108.49</v>
      </c>
      <c r="G6" s="336" t="str">
        <f aca="true" t="shared" si="0" ref="G6:G14">IF(E6=" "," ",E6-F6)</f>
        <v> </v>
      </c>
      <c r="H6" s="337" t="str">
        <f aca="true" t="shared" si="1" ref="H6:H14">IF(E6=" "," ",IF(F6=0," ",G6/F6))</f>
        <v> </v>
      </c>
      <c r="I6" s="316" t="str">
        <f>IF(E6=" "," ",IF(F6=0," ",IF(ABS(H6)&gt;0.02,"ERRORE","OK")))</f>
        <v> </v>
      </c>
    </row>
    <row r="7" spans="1:9" ht="12.75">
      <c r="A7" s="131" t="str">
        <f>'t1'!A7</f>
        <v>MAGIST. CON FUNZ. DIRETT. APICALI REQUIRENTI DI LEGITTIMITÀ</v>
      </c>
      <c r="B7" s="311" t="str">
        <f>'t1'!B7</f>
        <v>0D0MT2</v>
      </c>
      <c r="C7" s="334">
        <f>'t12'!C7</f>
        <v>0</v>
      </c>
      <c r="D7" s="335">
        <f>'t12'!D7</f>
        <v>0</v>
      </c>
      <c r="E7" s="336" t="str">
        <f aca="true" t="shared" si="2" ref="E7:E14">IF(C7=0," ",D7/C7*12)</f>
        <v> </v>
      </c>
      <c r="F7" s="355">
        <v>87941.14</v>
      </c>
      <c r="G7" s="336" t="str">
        <f t="shared" si="0"/>
        <v> </v>
      </c>
      <c r="H7" s="337" t="str">
        <f t="shared" si="1"/>
        <v> </v>
      </c>
      <c r="I7" s="316" t="str">
        <f aca="true" t="shared" si="3" ref="I7:I14">IF(E7=" "," ",IF(F7=0," ",IF(ABS(H7)&gt;0.02,"ERRORE","OK")))</f>
        <v> </v>
      </c>
    </row>
    <row r="8" spans="1:9" ht="12.75">
      <c r="A8" s="131" t="str">
        <f>'t1'!A8</f>
        <v>MAGISTRATI CON FUNZIONI DIRETTIVE SUPERIORI DI LEGITTIMITÀ</v>
      </c>
      <c r="B8" s="311" t="str">
        <f>'t1'!B8</f>
        <v>0D0MT3</v>
      </c>
      <c r="C8" s="334">
        <f>'t12'!C8</f>
        <v>0</v>
      </c>
      <c r="D8" s="335">
        <f>'t12'!D8</f>
        <v>0</v>
      </c>
      <c r="E8" s="336" t="str">
        <f t="shared" si="2"/>
        <v> </v>
      </c>
      <c r="F8" s="355">
        <v>84773.79</v>
      </c>
      <c r="G8" s="336" t="str">
        <f t="shared" si="0"/>
        <v> </v>
      </c>
      <c r="H8" s="337" t="str">
        <f t="shared" si="1"/>
        <v> </v>
      </c>
      <c r="I8" s="316" t="str">
        <f t="shared" si="3"/>
        <v> </v>
      </c>
    </row>
    <row r="9" spans="1:9" ht="12.75">
      <c r="A9" s="131" t="str">
        <f>'t1'!A9</f>
        <v>MAGISTRATI ORDINARI VII VALUT. PROF.</v>
      </c>
      <c r="B9" s="311" t="str">
        <f>'t1'!B9</f>
        <v>0D0MT4</v>
      </c>
      <c r="C9" s="334">
        <f>'t12'!C9</f>
        <v>0</v>
      </c>
      <c r="D9" s="335">
        <f>'t12'!D9</f>
        <v>0</v>
      </c>
      <c r="E9" s="336" t="str">
        <f t="shared" si="2"/>
        <v> </v>
      </c>
      <c r="F9" s="355">
        <v>77172.13</v>
      </c>
      <c r="G9" s="336" t="str">
        <f t="shared" si="0"/>
        <v> </v>
      </c>
      <c r="H9" s="337" t="str">
        <f t="shared" si="1"/>
        <v> </v>
      </c>
      <c r="I9" s="316" t="str">
        <f t="shared" si="3"/>
        <v> </v>
      </c>
    </row>
    <row r="10" spans="1:9" ht="12.75">
      <c r="A10" s="131" t="str">
        <f>'t1'!A10</f>
        <v>MAGISTRATI ORDINARI V VALUT. PROF.</v>
      </c>
      <c r="B10" s="311" t="str">
        <f>'t1'!B10</f>
        <v>0D0MT5</v>
      </c>
      <c r="C10" s="334">
        <f>'t12'!C10</f>
        <v>0</v>
      </c>
      <c r="D10" s="335">
        <f>'t12'!D10</f>
        <v>0</v>
      </c>
      <c r="E10" s="336" t="str">
        <f t="shared" si="2"/>
        <v> </v>
      </c>
      <c r="F10" s="355">
        <v>65844.55</v>
      </c>
      <c r="G10" s="336" t="str">
        <f t="shared" si="0"/>
        <v> </v>
      </c>
      <c r="H10" s="337" t="str">
        <f t="shared" si="1"/>
        <v> </v>
      </c>
      <c r="I10" s="316" t="str">
        <f t="shared" si="3"/>
        <v> </v>
      </c>
    </row>
    <row r="11" spans="1:9" ht="12.75">
      <c r="A11" s="131" t="str">
        <f>'t1'!A11</f>
        <v>MAGISTRATI ORDINARI DOPO 1 ANNO DALLA III VALUT. PROF.</v>
      </c>
      <c r="B11" s="311" t="str">
        <f>'t1'!B11</f>
        <v>0D0MT6</v>
      </c>
      <c r="C11" s="334">
        <f>'t12'!C11</f>
        <v>0</v>
      </c>
      <c r="D11" s="335">
        <f>'t12'!D11</f>
        <v>0</v>
      </c>
      <c r="E11" s="336" t="str">
        <f t="shared" si="2"/>
        <v> </v>
      </c>
      <c r="F11" s="355">
        <v>58654.81</v>
      </c>
      <c r="G11" s="336" t="str">
        <f t="shared" si="0"/>
        <v> </v>
      </c>
      <c r="H11" s="337" t="str">
        <f t="shared" si="1"/>
        <v> </v>
      </c>
      <c r="I11" s="316" t="str">
        <f t="shared" si="3"/>
        <v> </v>
      </c>
    </row>
    <row r="12" spans="1:9" ht="12.75">
      <c r="A12" s="131" t="str">
        <f>'t1'!A12</f>
        <v>MAGISTRATI ORDINARI  I  VALUT. PROF.</v>
      </c>
      <c r="B12" s="311" t="str">
        <f>'t1'!B12</f>
        <v>0D0MT7</v>
      </c>
      <c r="C12" s="334">
        <f>'t12'!C12</f>
        <v>0</v>
      </c>
      <c r="D12" s="335">
        <f>'t12'!D12</f>
        <v>0</v>
      </c>
      <c r="E12" s="336" t="str">
        <f t="shared" si="2"/>
        <v> </v>
      </c>
      <c r="F12" s="355">
        <v>51465.08</v>
      </c>
      <c r="G12" s="336" t="str">
        <f t="shared" si="0"/>
        <v> </v>
      </c>
      <c r="H12" s="337" t="str">
        <f t="shared" si="1"/>
        <v> </v>
      </c>
      <c r="I12" s="316" t="str">
        <f t="shared" si="3"/>
        <v> </v>
      </c>
    </row>
    <row r="13" spans="1:9" ht="12.75">
      <c r="A13" s="131" t="str">
        <f>'t1'!A13</f>
        <v>MAGISTRATI ORDINARI</v>
      </c>
      <c r="B13" s="311" t="str">
        <f>'t1'!B13</f>
        <v>0D0MT8</v>
      </c>
      <c r="C13" s="334">
        <f>'t12'!C13</f>
        <v>0</v>
      </c>
      <c r="D13" s="335">
        <f>'t12'!D13</f>
        <v>0</v>
      </c>
      <c r="E13" s="336" t="str">
        <f t="shared" si="2"/>
        <v> </v>
      </c>
      <c r="F13" s="355">
        <v>37082.5</v>
      </c>
      <c r="G13" s="336" t="str">
        <f t="shared" si="0"/>
        <v> </v>
      </c>
      <c r="H13" s="337" t="str">
        <f t="shared" si="1"/>
        <v> </v>
      </c>
      <c r="I13" s="316" t="str">
        <f t="shared" si="3"/>
        <v> </v>
      </c>
    </row>
    <row r="14" spans="1:9" ht="12.75">
      <c r="A14" s="131" t="str">
        <f>'t1'!A14</f>
        <v>MAGISTRATI ORDINARI IN TIROCINIO</v>
      </c>
      <c r="B14" s="311" t="str">
        <f>'t1'!B14</f>
        <v>0D0MT9</v>
      </c>
      <c r="C14" s="334">
        <f>'t12'!C14</f>
        <v>0</v>
      </c>
      <c r="D14" s="335">
        <f>'t12'!D14</f>
        <v>0</v>
      </c>
      <c r="E14" s="336" t="str">
        <f t="shared" si="2"/>
        <v> </v>
      </c>
      <c r="F14" s="355">
        <v>26432.07</v>
      </c>
      <c r="G14" s="336" t="str">
        <f t="shared" si="0"/>
        <v> </v>
      </c>
      <c r="H14" s="337" t="str">
        <f t="shared" si="1"/>
        <v> </v>
      </c>
      <c r="I14" s="316"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3.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03" t="str">
        <f>'t1'!A1</f>
        <v>MAGISTRATURA ORDINARIA - anno 2019</v>
      </c>
      <c r="B1" s="903"/>
      <c r="C1" s="903"/>
      <c r="D1" s="903"/>
      <c r="E1" s="648"/>
      <c r="F1" s="308"/>
      <c r="G1" s="308"/>
      <c r="H1" s="308"/>
      <c r="I1" s="308"/>
      <c r="K1" s="3"/>
      <c r="M1"/>
    </row>
    <row r="2" spans="1:13" ht="16.5" thickBot="1">
      <c r="A2" s="809" t="s">
        <v>502</v>
      </c>
      <c r="B2" s="807"/>
      <c r="C2" s="807"/>
      <c r="D2" s="807"/>
      <c r="E2" s="309"/>
      <c r="F2" s="309"/>
      <c r="G2" s="309"/>
      <c r="H2" s="309"/>
      <c r="I2" s="309"/>
      <c r="K2" s="3"/>
      <c r="M2"/>
    </row>
    <row r="3" spans="1:5" ht="33" customHeight="1" thickBot="1">
      <c r="A3" s="993" t="s">
        <v>503</v>
      </c>
      <c r="B3" s="994"/>
      <c r="C3" s="994"/>
      <c r="D3" s="995"/>
      <c r="E3" s="674"/>
    </row>
    <row r="4" spans="1:4" s="191" customFormat="1" ht="32.25" thickBot="1">
      <c r="A4" s="595" t="s">
        <v>427</v>
      </c>
      <c r="B4" s="596" t="s">
        <v>428</v>
      </c>
      <c r="C4" s="596" t="s">
        <v>429</v>
      </c>
      <c r="D4" s="597" t="s">
        <v>430</v>
      </c>
    </row>
    <row r="5" spans="1:4" ht="39" customHeight="1">
      <c r="A5" s="675" t="str">
        <f>SI_1!B85</f>
        <v>Non compilare</v>
      </c>
      <c r="B5" s="676">
        <f>SI_1!G85</f>
        <v>0</v>
      </c>
      <c r="C5" s="676">
        <f>'t1'!K15+'t1'!L15</f>
        <v>0</v>
      </c>
      <c r="D5" s="810" t="str">
        <f>IF(B5&lt;=C5,"OK","Dati incoerenti: controllare i valori")</f>
        <v>OK</v>
      </c>
    </row>
    <row r="6" spans="1:4" ht="39" customHeight="1">
      <c r="A6" s="677" t="str">
        <f>SI_1!B106</f>
        <v>Indicare il numero delle unita rilevate in tabella 1 tra i "presenti al 31.12" che risultavano titolari di permessi per legge n. 104/92.</v>
      </c>
      <c r="B6" s="678">
        <f>SI_1!G106</f>
        <v>0</v>
      </c>
      <c r="C6" s="678">
        <f>'t1'!K15+'t1'!L15</f>
        <v>0</v>
      </c>
      <c r="D6" s="811" t="str">
        <f>IF(B6&lt;=C6,"OK","Dati incoerenti: controllare i valori")</f>
        <v>OK</v>
      </c>
    </row>
    <row r="7" spans="1:4" ht="39" customHeight="1" thickBot="1">
      <c r="A7" s="679" t="str">
        <f>SI_1!B109</f>
        <v>Indicare il numero delle unita rilevate in tabella 1 tra i "presenti al 31.12" che risultavano titolari di permessi ai sensi dell'art. 42, c.5 D.lgs.151/2001.</v>
      </c>
      <c r="B7" s="680">
        <f>SI_1!G109</f>
        <v>0</v>
      </c>
      <c r="C7" s="680">
        <f>'t1'!K15+'t1'!L15</f>
        <v>0</v>
      </c>
      <c r="D7" s="812" t="str">
        <f>IF(B7&lt;=C7,"OK","Dati incoerenti: controllare i valori")</f>
        <v>OK</v>
      </c>
    </row>
    <row r="10" spans="1:13" ht="16.5" thickBot="1">
      <c r="A10" s="806" t="s">
        <v>498</v>
      </c>
      <c r="B10" s="807"/>
      <c r="C10" s="807"/>
      <c r="D10" s="807"/>
      <c r="E10" s="309"/>
      <c r="F10" s="309"/>
      <c r="G10" s="309"/>
      <c r="H10" s="309"/>
      <c r="I10" s="309"/>
      <c r="K10" s="3"/>
      <c r="M10"/>
    </row>
    <row r="11" spans="1:5" ht="32.25" customHeight="1" thickBot="1">
      <c r="A11" s="993" t="s">
        <v>499</v>
      </c>
      <c r="B11" s="994"/>
      <c r="C11" s="994"/>
      <c r="D11" s="995"/>
      <c r="E11" s="674"/>
    </row>
    <row r="12" spans="1:4" s="191" customFormat="1" ht="21.75" thickBot="1">
      <c r="A12" s="681" t="s">
        <v>427</v>
      </c>
      <c r="B12" s="682" t="s">
        <v>428</v>
      </c>
      <c r="C12" s="682" t="s">
        <v>431</v>
      </c>
      <c r="D12" s="683" t="s">
        <v>432</v>
      </c>
    </row>
    <row r="13" spans="1:4" ht="39" customHeight="1">
      <c r="A13" s="684" t="str">
        <f>SI_1!B106</f>
        <v>Indicare il numero delle unita rilevate in tabella 1 tra i "presenti al 31.12" che risultavano titolari di permessi per legge n. 104/92.</v>
      </c>
      <c r="B13" s="685">
        <f>SI_1!G106</f>
        <v>0</v>
      </c>
      <c r="C13" s="686">
        <f>'t11'!I17+'t11'!J17</f>
        <v>0</v>
      </c>
      <c r="D13" s="813" t="str">
        <f>(IF(AND(C13=0,B13&gt;0),"Mancano le assenze per questa causale",IF(AND(C13&gt;0,B13=0),"Dichiarare Unita nella domanda della Scheda Informativa 1","OK")))</f>
        <v>OK</v>
      </c>
    </row>
    <row r="14" spans="1:4" ht="39" customHeight="1" thickBot="1">
      <c r="A14" s="687" t="str">
        <f>SI_1!B109</f>
        <v>Indicare il numero delle unita rilevate in tabella 1 tra i "presenti al 31.12" che risultavano titolari di permessi ai sensi dell'art. 42, c.5 D.lgs.151/2001.</v>
      </c>
      <c r="B14" s="680">
        <f>SI_1!G109</f>
        <v>0</v>
      </c>
      <c r="C14" s="688">
        <f>'t11'!G17+'t11'!H17</f>
        <v>0</v>
      </c>
      <c r="D14" s="814" t="str">
        <f>(IF(AND(C14=0,B14&gt;0),"Mancano le assenze per questa causale",IF(AND(C14&gt;0,B14=0),"Dichiarare Unita nella domanda della Scheda Informativa 1","OK")))</f>
        <v>OK</v>
      </c>
    </row>
    <row r="17" spans="1:13" ht="12.75" customHeight="1" thickBot="1">
      <c r="A17" s="808" t="s">
        <v>500</v>
      </c>
      <c r="B17" s="807"/>
      <c r="C17" s="807"/>
      <c r="D17" s="807"/>
      <c r="E17" s="309"/>
      <c r="F17" s="309"/>
      <c r="G17" s="309"/>
      <c r="H17" s="309"/>
      <c r="I17" s="309"/>
      <c r="K17" s="3"/>
      <c r="M17"/>
    </row>
    <row r="18" spans="1:5" ht="30.75" customHeight="1" thickBot="1">
      <c r="A18" s="993" t="s">
        <v>501</v>
      </c>
      <c r="B18" s="994"/>
      <c r="C18" s="994"/>
      <c r="D18" s="995"/>
      <c r="E18" s="674"/>
    </row>
    <row r="19" spans="1:4" ht="21.75" thickBot="1">
      <c r="A19" s="681" t="s">
        <v>427</v>
      </c>
      <c r="B19" s="682" t="s">
        <v>486</v>
      </c>
      <c r="C19" s="682" t="s">
        <v>431</v>
      </c>
      <c r="D19" s="683" t="s">
        <v>432</v>
      </c>
    </row>
    <row r="20" spans="1:4" ht="37.5" customHeight="1" thickBot="1">
      <c r="A20" s="687" t="s">
        <v>418</v>
      </c>
      <c r="B20" s="685">
        <f>SI_1!G82</f>
        <v>0</v>
      </c>
      <c r="C20" s="686">
        <f>'t11'!E17+'t11'!F17</f>
        <v>0</v>
      </c>
      <c r="D20" s="813"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5:D7 D13:D14 D20">
    <cfRule type="notContainsText" priority="1" dxfId="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4.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08" customWidth="1"/>
    <col min="2" max="2" width="8" style="408" customWidth="1"/>
    <col min="3" max="3" width="14.16015625" style="408" customWidth="1"/>
    <col min="4" max="4" width="15.33203125" style="408" customWidth="1"/>
    <col min="5" max="5" width="25" style="408" bestFit="1" customWidth="1"/>
    <col min="6" max="6" width="17.33203125" style="408" customWidth="1"/>
    <col min="7" max="7" width="17.16015625" style="408" customWidth="1"/>
    <col min="8" max="14" width="9.33203125" style="408" customWidth="1"/>
  </cols>
  <sheetData>
    <row r="1" spans="1:13" s="5" customFormat="1" ht="26.25" customHeight="1">
      <c r="A1" s="903" t="str">
        <f>'t1'!A1:J1</f>
        <v>MAGISTRATURA ORDINARIA - anno 2019</v>
      </c>
      <c r="B1" s="903"/>
      <c r="C1" s="903"/>
      <c r="D1" s="903"/>
      <c r="E1" s="903"/>
      <c r="F1" s="308"/>
      <c r="G1" s="305"/>
      <c r="H1" s="308"/>
      <c r="K1" s="3"/>
      <c r="M1" s="407"/>
    </row>
    <row r="2" spans="2:13" s="5" customFormat="1" ht="15" customHeight="1">
      <c r="B2" s="976"/>
      <c r="C2" s="976"/>
      <c r="D2" s="976"/>
      <c r="E2" s="976"/>
      <c r="F2" s="976"/>
      <c r="G2" s="976"/>
      <c r="J2" s="309"/>
      <c r="K2" s="3"/>
      <c r="M2" s="407"/>
    </row>
    <row r="3" spans="1:2" s="5" customFormat="1" ht="21" customHeight="1" thickBot="1">
      <c r="A3" s="312" t="s">
        <v>236</v>
      </c>
      <c r="B3" s="7"/>
    </row>
    <row r="4" spans="1:7" ht="20.25" customHeight="1" thickBot="1">
      <c r="A4" s="321" t="s">
        <v>237</v>
      </c>
      <c r="B4" s="1001">
        <f>'t12'!K15+'t13'!L15</f>
        <v>0</v>
      </c>
      <c r="C4" s="1002"/>
      <c r="D4" s="1002"/>
      <c r="E4" s="1002"/>
      <c r="F4" s="1002"/>
      <c r="G4" s="1003"/>
    </row>
    <row r="5" spans="1:14" ht="85.5" customHeight="1" thickBot="1">
      <c r="A5" s="213" t="s">
        <v>91</v>
      </c>
      <c r="B5" s="214" t="s">
        <v>222</v>
      </c>
      <c r="C5" s="214" t="s">
        <v>223</v>
      </c>
      <c r="D5" s="215" t="s">
        <v>224</v>
      </c>
      <c r="E5" s="1004" t="s">
        <v>221</v>
      </c>
      <c r="F5" s="1005"/>
      <c r="G5" s="1006"/>
      <c r="H5" s="407"/>
      <c r="I5" s="407"/>
      <c r="J5" s="407"/>
      <c r="K5" s="407"/>
      <c r="L5" s="407"/>
      <c r="M5" s="407"/>
      <c r="N5" s="407"/>
    </row>
    <row r="6" spans="1:14" ht="19.5" customHeight="1">
      <c r="A6" s="212" t="str">
        <f>'t14'!A4</f>
        <v>ASSEGNI PER IL NUCLEO FAMILIARE</v>
      </c>
      <c r="B6" s="317" t="str">
        <f>'t14'!B4</f>
        <v>L005</v>
      </c>
      <c r="C6" s="313">
        <f>'t14'!D4</f>
        <v>0</v>
      </c>
      <c r="D6" s="409" t="str">
        <f aca="true" t="shared" si="0" ref="D6:D12">IF($B$4=0," ",(IF(C6=0," ",C6/$B$4)))</f>
        <v> </v>
      </c>
      <c r="E6" s="1013" t="str">
        <f>IF($B$4=0,"TABELLE 12 -13 ASSENTI",(IF('t12'!$K$15=0,"TAB. 12 ASSENTE",(IF('t13'!#REF!=0,"TAB. 13 ASSENTE"," ")))))</f>
        <v>TABELLE 12 -13 ASSENTI</v>
      </c>
      <c r="F6" s="1014"/>
      <c r="G6" s="1015"/>
      <c r="H6" s="407"/>
      <c r="I6" s="407"/>
      <c r="J6" s="407"/>
      <c r="K6" s="407"/>
      <c r="L6" s="407"/>
      <c r="M6" s="407"/>
      <c r="N6" s="407"/>
    </row>
    <row r="7" spans="1:14" ht="19.5" customHeight="1">
      <c r="A7" s="212" t="str">
        <f>'t14'!A5</f>
        <v>GESTIONE MENSE </v>
      </c>
      <c r="B7" s="317" t="str">
        <f>'t14'!B5</f>
        <v>L010</v>
      </c>
      <c r="C7" s="314">
        <f>'t14'!D5</f>
        <v>0</v>
      </c>
      <c r="D7" s="410" t="str">
        <f t="shared" si="0"/>
        <v> </v>
      </c>
      <c r="E7" s="1007"/>
      <c r="F7" s="1008"/>
      <c r="G7" s="1009"/>
      <c r="H7" s="407"/>
      <c r="I7" s="407"/>
      <c r="J7" s="407"/>
      <c r="K7" s="407"/>
      <c r="L7" s="407"/>
      <c r="M7" s="407"/>
      <c r="N7" s="407"/>
    </row>
    <row r="8" spans="1:14" ht="19.5" customHeight="1">
      <c r="A8" s="212" t="str">
        <f>'t14'!A6</f>
        <v>EROGAZIONE BUONI PASTO</v>
      </c>
      <c r="B8" s="317" t="str">
        <f>'t14'!B6</f>
        <v>L011</v>
      </c>
      <c r="C8" s="314">
        <f>'t14'!D6</f>
        <v>0</v>
      </c>
      <c r="D8" s="410" t="str">
        <f t="shared" si="0"/>
        <v> </v>
      </c>
      <c r="E8" s="1007"/>
      <c r="F8" s="1008"/>
      <c r="G8" s="1009"/>
      <c r="H8" s="407"/>
      <c r="I8" s="407"/>
      <c r="J8" s="407"/>
      <c r="K8" s="407"/>
      <c r="L8" s="407"/>
      <c r="M8" s="407"/>
      <c r="N8" s="407"/>
    </row>
    <row r="9" spans="1:14" ht="19.5" customHeight="1">
      <c r="A9" s="212" t="str">
        <f>'t14'!A7</f>
        <v>FORMAZIONE DEL PERSONALE</v>
      </c>
      <c r="B9" s="317" t="str">
        <f>'t14'!B7</f>
        <v>L020</v>
      </c>
      <c r="C9" s="314">
        <f>'t14'!D7</f>
        <v>0</v>
      </c>
      <c r="D9" s="410" t="str">
        <f t="shared" si="0"/>
        <v> </v>
      </c>
      <c r="E9" s="1007"/>
      <c r="F9" s="1008"/>
      <c r="G9" s="1009"/>
      <c r="H9" s="407"/>
      <c r="I9" s="407"/>
      <c r="J9" s="407"/>
      <c r="K9" s="407"/>
      <c r="L9" s="407"/>
      <c r="M9" s="407"/>
      <c r="N9" s="407"/>
    </row>
    <row r="10" spans="1:14" ht="19.5" customHeight="1">
      <c r="A10" s="212" t="str">
        <f>'t14'!A8</f>
        <v>BENESSERE DEL PERSONALE</v>
      </c>
      <c r="B10" s="317" t="str">
        <f>'t14'!B8</f>
        <v>L090</v>
      </c>
      <c r="C10" s="314">
        <f>'t14'!D8</f>
        <v>0</v>
      </c>
      <c r="D10" s="410" t="str">
        <f t="shared" si="0"/>
        <v> </v>
      </c>
      <c r="E10" s="1007"/>
      <c r="F10" s="1008"/>
      <c r="G10" s="1009"/>
      <c r="H10" s="407"/>
      <c r="I10" s="407"/>
      <c r="J10" s="407"/>
      <c r="K10" s="407"/>
      <c r="L10" s="407"/>
      <c r="M10" s="407"/>
      <c r="N10" s="407"/>
    </row>
    <row r="11" spans="1:14" ht="19.5" customHeight="1" thickBot="1">
      <c r="A11" s="212" t="str">
        <f>'t14'!A9</f>
        <v>EQUO INDENNIZZO AL PERSONALE</v>
      </c>
      <c r="B11" s="317" t="str">
        <f>'t14'!B9</f>
        <v>L100</v>
      </c>
      <c r="C11" s="314">
        <f>'t14'!D9</f>
        <v>0</v>
      </c>
      <c r="D11" s="411" t="str">
        <f t="shared" si="0"/>
        <v> </v>
      </c>
      <c r="E11" s="1010"/>
      <c r="F11" s="1011"/>
      <c r="G11" s="1012"/>
      <c r="H11" s="407"/>
      <c r="I11" s="407"/>
      <c r="J11" s="407"/>
      <c r="K11" s="407"/>
      <c r="L11" s="407"/>
      <c r="M11" s="407"/>
      <c r="N11" s="407"/>
    </row>
    <row r="12" spans="1:14" ht="30.75" customHeight="1" thickBot="1">
      <c r="A12" s="212" t="str">
        <f>'t14'!A10</f>
        <v>SOMME CORRISPOSTE AD AGENZIA DI SOMMINISTRAZIONE(INTERINALI)</v>
      </c>
      <c r="B12" s="317" t="str">
        <f>'t14'!B10</f>
        <v>L105</v>
      </c>
      <c r="C12" s="314">
        <f>'t14'!D10</f>
        <v>0</v>
      </c>
      <c r="D12" s="411" t="str">
        <f t="shared" si="0"/>
        <v> </v>
      </c>
      <c r="E12" s="999" t="str">
        <f>(IF(AND(C12=0,C24&gt;0),"P062 VALORIZZATA; INSERIRE SOMME SPETTANTI ALL'AGENZIA (L105)",IF(AND(C12&gt;0,C24&gt;0,C12&gt;(C24/100*30)),"ATTENZIONE: la voce L105 supera il 30% della voce P062. Il salvataggio produrrà l'INCONGRUENZA 1 che dovrà essere giustificata"," ")))</f>
        <v> </v>
      </c>
      <c r="F12" s="1016"/>
      <c r="G12" s="1017"/>
      <c r="H12" s="407"/>
      <c r="I12" s="407"/>
      <c r="J12" s="407"/>
      <c r="K12" s="407"/>
      <c r="L12" s="407"/>
      <c r="M12" s="407"/>
      <c r="N12" s="407"/>
    </row>
    <row r="13" spans="1:14" ht="19.5" customHeight="1" thickBot="1">
      <c r="A13" s="212" t="str">
        <f>'t14'!A11</f>
        <v>COPERTURE ASSICURATIVE</v>
      </c>
      <c r="B13" s="317" t="str">
        <f>'t14'!B11</f>
        <v>L107</v>
      </c>
      <c r="C13" s="314">
        <f>'t14'!D11</f>
        <v>0</v>
      </c>
      <c r="D13" s="409" t="str">
        <f aca="true" t="shared" si="1" ref="D13:D21">IF($B$4=0," ",(IF(C13=0," ",C13/$B$4)))</f>
        <v> </v>
      </c>
      <c r="E13" s="996" t="str">
        <f>IF($B$4=0,"TABELLE 12 -13 ASSENTI",(IF('t12'!$K$15=0,"TAB. 12 ASSENTE",(IF('t13'!#REF!=0,"TAB. 13 ASSENTE"," ")))))</f>
        <v>TABELLE 12 -13 ASSENTI</v>
      </c>
      <c r="F13" s="1000" t="s">
        <v>268</v>
      </c>
      <c r="G13" s="1018" t="s">
        <v>268</v>
      </c>
      <c r="H13" s="407"/>
      <c r="I13" s="407"/>
      <c r="J13" s="407"/>
      <c r="K13" s="407"/>
      <c r="L13" s="407"/>
      <c r="M13" s="407"/>
      <c r="N13" s="407"/>
    </row>
    <row r="14" spans="1:14" ht="41.25" customHeight="1" thickBot="1">
      <c r="A14" s="212" t="str">
        <f>'t14'!A12</f>
        <v>CONTRATTI DI COLLABORAZIONE COORDINATA E CONTINUATIVA</v>
      </c>
      <c r="B14" s="317" t="str">
        <f>'t14'!B12</f>
        <v>L108</v>
      </c>
      <c r="C14" s="314">
        <f>'t14'!D12</f>
        <v>0</v>
      </c>
      <c r="D14" s="410" t="str">
        <f t="shared" si="1"/>
        <v> </v>
      </c>
      <c r="E14" s="999" t="str">
        <f>IF(SI_1!G56=0,IF('t14'!D12=0," ","MANCA IL NUMERO DEI CONTRATTI NELLA SI_1"),IF('t14'!D12=0,"VERIFICARE SE INSERIRE LE SPESE"," "))</f>
        <v> </v>
      </c>
      <c r="F14" s="1000"/>
      <c r="G14" s="338" t="str">
        <f>IF(AND(C14&gt;0,SI_1!G56&gt;0),"VALORE MEDIO UNITARIO DI SPESA =  "&amp;C14/SI_1!G56," ")</f>
        <v> </v>
      </c>
      <c r="H14" s="407"/>
      <c r="I14" s="407"/>
      <c r="J14" s="407"/>
      <c r="K14" s="407"/>
      <c r="L14" s="407"/>
      <c r="M14" s="407"/>
      <c r="N14" s="407"/>
    </row>
    <row r="15" spans="1:14" ht="41.25" customHeight="1" thickBot="1">
      <c r="A15" s="212" t="str">
        <f>'t14'!A13</f>
        <v>INCARICHI LIBERO PROFESSIONALI/STUDIO/RICERCA/CONSULENZA</v>
      </c>
      <c r="B15" s="317" t="str">
        <f>'t14'!B13</f>
        <v>L109</v>
      </c>
      <c r="C15" s="314">
        <f>'t14'!D13</f>
        <v>0</v>
      </c>
      <c r="D15" s="410" t="str">
        <f t="shared" si="1"/>
        <v> </v>
      </c>
      <c r="E15" s="999" t="str">
        <f>IF(SI_1!G59=0,IF('t14'!D13=0," ","MANCA IL NUMERO DEI CONTRATTI NELLA SI_1"),IF('t14'!D13=0,"VERIFICARE SE INSERIRE LE SPESE"," "))</f>
        <v> </v>
      </c>
      <c r="F15" s="1000"/>
      <c r="G15" s="338" t="str">
        <f>IF(AND(C15&gt;0,SI_1!G59&gt;0),"VALORE MEDIO UNITARIO DI SPESA =  "&amp;C15/SI_1!G59," ")</f>
        <v> </v>
      </c>
      <c r="H15" s="407"/>
      <c r="I15" s="407"/>
      <c r="J15" s="407"/>
      <c r="K15" s="407"/>
      <c r="L15" s="407"/>
      <c r="M15" s="407"/>
      <c r="N15" s="407"/>
    </row>
    <row r="16" spans="1:14" ht="41.25" customHeight="1" thickBot="1">
      <c r="A16" s="212" t="str">
        <f>'t14'!A14</f>
        <v>CONTRATTI PER RESA SERVIZI/ADEMPIMENTI OBBLIGATORI PER LEGGE</v>
      </c>
      <c r="B16" s="317" t="str">
        <f>'t14'!B14</f>
        <v>L115</v>
      </c>
      <c r="C16" s="314">
        <f>'t14'!D14</f>
        <v>0</v>
      </c>
      <c r="D16" s="410" t="str">
        <f>IF($B$4=0," ",(IF(C16=0," ",C16/$B$4)))</f>
        <v> </v>
      </c>
      <c r="E16" s="999" t="str">
        <f>IF(SI_1!G62=0,IF('t14'!D14=0," ","MANCA IL NUMERO DEI CONTRATTI NELLA SI_1"),IF('t14'!D14=0,"VERIFICARE SE INSERIRE LE SPESE"," "))</f>
        <v> </v>
      </c>
      <c r="F16" s="1000"/>
      <c r="G16" s="338" t="str">
        <f>IF(AND(C16&gt;0,SI_1!G62&gt;0),"VALORE MEDIO UNITARIO DI SPESA =  "&amp;C16/SI_1!G62," ")</f>
        <v> </v>
      </c>
      <c r="H16" s="407"/>
      <c r="I16" s="407"/>
      <c r="J16" s="407"/>
      <c r="K16" s="407"/>
      <c r="L16" s="407"/>
      <c r="M16" s="407"/>
      <c r="N16" s="407"/>
    </row>
    <row r="17" spans="1:14" ht="19.5" customHeight="1">
      <c r="A17" s="212" t="str">
        <f>'t14'!A15</f>
        <v>ALTRE SPESE</v>
      </c>
      <c r="B17" s="317" t="str">
        <f>'t14'!B15</f>
        <v>L110</v>
      </c>
      <c r="C17" s="314">
        <f>'t14'!D15</f>
        <v>0</v>
      </c>
      <c r="D17" s="410" t="str">
        <f t="shared" si="1"/>
        <v> </v>
      </c>
      <c r="E17" s="1013" t="str">
        <f>IF($B$4=0,"TABELLE 12 -13 ASSENTI",(IF('t12'!K15=0,"TAB. 12 ASSENTE",(IF('t13'!#REF!=0,"TAB. 13 ASSENTE"," ")))))</f>
        <v>TABELLE 12 -13 ASSENTI</v>
      </c>
      <c r="F17" s="1019" t="s">
        <v>268</v>
      </c>
      <c r="G17" s="1020" t="s">
        <v>268</v>
      </c>
      <c r="H17" s="407"/>
      <c r="I17" s="407"/>
      <c r="J17" s="407"/>
      <c r="K17" s="407"/>
      <c r="L17" s="407"/>
      <c r="M17" s="407"/>
      <c r="N17" s="407"/>
    </row>
    <row r="18" spans="1:14" ht="19.5" customHeight="1">
      <c r="A18" s="212" t="str">
        <f>'t14'!A16</f>
        <v>RETRIBUZIONI PERSONALE  A TEMPO DETERMINATO</v>
      </c>
      <c r="B18" s="317" t="str">
        <f>'t14'!B16</f>
        <v>P015</v>
      </c>
      <c r="C18" s="314">
        <f>'t14'!D16</f>
        <v>0</v>
      </c>
      <c r="D18" s="410" t="str">
        <f t="shared" si="1"/>
        <v> </v>
      </c>
      <c r="E18" s="1021" t="s">
        <v>268</v>
      </c>
      <c r="F18" s="1022" t="s">
        <v>268</v>
      </c>
      <c r="G18" s="1023" t="s">
        <v>268</v>
      </c>
      <c r="H18" s="407"/>
      <c r="I18" s="407"/>
      <c r="J18" s="407"/>
      <c r="K18" s="407"/>
      <c r="L18" s="407"/>
      <c r="M18" s="407"/>
      <c r="N18" s="407"/>
    </row>
    <row r="19" spans="1:14" ht="19.5" customHeight="1">
      <c r="A19" s="212" t="str">
        <f>'t14'!A17</f>
        <v>RETRIBUZIONI PERSONALE CON CONTRATTO DI FORMAZIONE E LAVORO</v>
      </c>
      <c r="B19" s="317" t="str">
        <f>'t14'!B17</f>
        <v>P016</v>
      </c>
      <c r="C19" s="314">
        <f>'t14'!D17</f>
        <v>0</v>
      </c>
      <c r="D19" s="410" t="str">
        <f t="shared" si="1"/>
        <v> </v>
      </c>
      <c r="E19" s="1021" t="s">
        <v>268</v>
      </c>
      <c r="F19" s="1022" t="s">
        <v>268</v>
      </c>
      <c r="G19" s="1023" t="s">
        <v>268</v>
      </c>
      <c r="H19" s="407"/>
      <c r="I19" s="407"/>
      <c r="J19" s="407"/>
      <c r="K19" s="407"/>
      <c r="L19" s="407"/>
      <c r="M19" s="407"/>
      <c r="N19" s="407"/>
    </row>
    <row r="20" spans="1:14" ht="19.5" customHeight="1" thickBot="1">
      <c r="A20" s="212" t="str">
        <f>'t14'!A18</f>
        <v>INDENNITA' DI MISSIONE E TRASFERIMENTO</v>
      </c>
      <c r="B20" s="317" t="str">
        <f>'t14'!B18</f>
        <v>P030</v>
      </c>
      <c r="C20" s="314">
        <f>'t14'!D18</f>
        <v>0</v>
      </c>
      <c r="D20" s="410" t="str">
        <f t="shared" si="1"/>
        <v> </v>
      </c>
      <c r="E20" s="1024" t="s">
        <v>268</v>
      </c>
      <c r="F20" s="1025" t="s">
        <v>268</v>
      </c>
      <c r="G20" s="1026" t="s">
        <v>268</v>
      </c>
      <c r="H20" s="407"/>
      <c r="I20" s="407"/>
      <c r="J20" s="407"/>
      <c r="K20" s="407"/>
      <c r="L20" s="407"/>
      <c r="M20" s="407"/>
      <c r="N20" s="407"/>
    </row>
    <row r="21" spans="1:14" ht="30.75" customHeight="1" thickBot="1">
      <c r="A21" s="212" t="str">
        <f>'t14'!A20</f>
        <v>CONTRIBUTI A CARICO DELL'AMM.NE SU COMP. FISSE E ACCESSORIE</v>
      </c>
      <c r="B21" s="317" t="str">
        <f>'t14'!B20</f>
        <v>P055</v>
      </c>
      <c r="C21" s="314">
        <f>'t14'!D20</f>
        <v>0</v>
      </c>
      <c r="D21" s="410" t="str">
        <f t="shared" si="1"/>
        <v> </v>
      </c>
      <c r="E21" s="482" t="str">
        <f>IF(AND(C31=0,B4=0)," ",IF(C31=0,"TABELLA 14 ASSENTE",IF(AND(B4=0,C18=0,C19=0,C25=0),"INSERIRE RETRIBUZIONI",IF(C21=0,"INSERIRE CONTRIBUTI",ROUND((C21/(B4+C18+C19+C25)*100),2)))))</f>
        <v> </v>
      </c>
      <c r="F21" s="1016" t="str">
        <f>IF(AND(B4=0,C31=0)," ",IF(C31=0,"VALORE INCONGRUENTE",IF(C21=0," ",IF(OR(E21&lt;25.398,E21&gt;34.362),"VALORE INCONGRUENTE (Inc. 4)","OK"))))</f>
        <v> </v>
      </c>
      <c r="G21" s="1017"/>
      <c r="H21" s="407"/>
      <c r="I21" s="407"/>
      <c r="J21" s="407"/>
      <c r="K21" s="407"/>
      <c r="L21" s="407"/>
      <c r="M21" s="407"/>
      <c r="N21" s="407"/>
    </row>
    <row r="22" spans="1:14" ht="30.75" customHeight="1" thickBot="1">
      <c r="A22" s="212" t="str">
        <f>'t14'!A21</f>
        <v>QUOTE ANNUE ACCANTONAMENTO TFR O ALTRA IND. FINE SERVIZIO</v>
      </c>
      <c r="B22" s="317" t="str">
        <f>'t14'!B21</f>
        <v>P058</v>
      </c>
      <c r="C22" s="314">
        <f>'t14'!D21</f>
        <v>0</v>
      </c>
      <c r="D22" s="410" t="str">
        <f>IF($B$4=0," ",(IF(C22=0," ",C22/$B$4)))</f>
        <v> </v>
      </c>
      <c r="E22" s="1007" t="str">
        <f>IF($B$4=0,"TABELLE 12 -13 ASSENTI",(IF('t12'!$K$15=0,"TAB. 12 ASSENTE",(IF('t13'!#REF!=0,"TAB. 13 ASSENTE"," ")))))</f>
        <v>TABELLE 12 -13 ASSENTI</v>
      </c>
      <c r="F22" s="1008" t="s">
        <v>268</v>
      </c>
      <c r="G22" s="1009" t="s">
        <v>268</v>
      </c>
      <c r="H22" s="407"/>
      <c r="I22" s="407"/>
      <c r="J22" s="407"/>
      <c r="K22" s="407"/>
      <c r="L22" s="407"/>
      <c r="M22" s="407"/>
      <c r="N22" s="407"/>
    </row>
    <row r="23" spans="1:14" ht="24" customHeight="1" thickBot="1">
      <c r="A23" s="212" t="str">
        <f>'t14'!A22</f>
        <v>IRAP</v>
      </c>
      <c r="B23" s="317" t="str">
        <f>'t14'!B22</f>
        <v>P061</v>
      </c>
      <c r="C23" s="314">
        <f>'t14'!D22</f>
        <v>0</v>
      </c>
      <c r="D23" s="410" t="str">
        <f>IF($B$4=0," ",IF(C23=0," ",C23/$B$4))</f>
        <v> </v>
      </c>
      <c r="E23" s="482" t="str">
        <f>IF(AND(B4=0,C31=0)," ",IF(C31=0,"TABELLA 14 ASSENTE",IF(AND(B4=0,C18=0,C19=0,C25=0),"INSERIRE RETRIBUZIONI",IF(C23=0,"INSERIRE SOMME IRAP",ROUND((C23/(B4+C18+C19+C25)*100),2)))))</f>
        <v> </v>
      </c>
      <c r="F23" s="1016" t="str">
        <f>IF('t14'!G22=1,IF(E23&gt;8.5,"VALORE INCONGRUENTE (Inc.4)","E' stata dichiarata IRAP Commerciale"),IF(AND(B4=0,C31=0)," ",IF(C31=0,"VALORE INCONGRUENTE",IF(C23=0," ",IF(OR(E23&lt;7.65,E23&gt;9.35),"VALORE INCONGRUENTE (Inc.4)","OK")))))</f>
        <v> </v>
      </c>
      <c r="G23" s="1017"/>
      <c r="H23" s="407"/>
      <c r="I23" s="407"/>
      <c r="J23" s="407"/>
      <c r="K23" s="407"/>
      <c r="L23" s="407"/>
      <c r="M23" s="407"/>
      <c r="N23" s="407"/>
    </row>
    <row r="24" spans="1:14" ht="19.5" customHeight="1" thickBot="1">
      <c r="A24" s="212" t="str">
        <f>'t14'!A23</f>
        <v>ONERI PER I CONTRATTI DI SOMMINISTRAZIONE(INTERINALI)</v>
      </c>
      <c r="B24" s="317" t="str">
        <f>'t14'!B23</f>
        <v>P062</v>
      </c>
      <c r="C24" s="315">
        <f>'t14'!D23</f>
        <v>0</v>
      </c>
      <c r="D24" s="412" t="str">
        <f>IF($B$4=0," ",(IF(AND(C24=0,C12&gt;0),"MANCANO GLI ONERI PER I LAVORATORI",IF(C24=0," ",C24/$B$4))))</f>
        <v> </v>
      </c>
      <c r="E24" s="996" t="str">
        <f>(IF(AND(C24=0,C12&gt;0),"L105 VALORIZZATA; INSERIRE RETRIBUZIONI PER INTERINALI (P062)"," "))</f>
        <v> </v>
      </c>
      <c r="F24" s="997"/>
      <c r="G24" s="998"/>
      <c r="H24" s="407"/>
      <c r="I24" s="407"/>
      <c r="J24" s="407"/>
      <c r="K24" s="407"/>
      <c r="L24" s="407"/>
      <c r="M24" s="407"/>
      <c r="N24" s="407"/>
    </row>
    <row r="25" spans="1:14" ht="19.5" customHeight="1">
      <c r="A25" s="212" t="str">
        <f>'t14'!A24</f>
        <v>COMPENSI PER PERSONALE LSU/LPU</v>
      </c>
      <c r="B25" s="317" t="str">
        <f>'t14'!B24</f>
        <v>P065</v>
      </c>
      <c r="C25" s="314">
        <f>'t14'!D24</f>
        <v>0</v>
      </c>
      <c r="D25" s="414" t="str">
        <f aca="true" t="shared" si="2" ref="D25:D30">IF($B$4=0," ",(IF(C25=0," ",C25/$B$4)))</f>
        <v> </v>
      </c>
      <c r="E25" s="1007" t="str">
        <f>IF($B$4=0,"TABELLE 12 -13 ASSENTI",(IF('t12'!$K$15=0,"TAB. 12 ASSENTE",(IF('t13'!#REF!=0,"TAB. 13 ASSENTE"," ")))))</f>
        <v>TABELLE 12 -13 ASSENTI</v>
      </c>
      <c r="F25" s="1008"/>
      <c r="G25" s="1009"/>
      <c r="H25" s="407"/>
      <c r="I25" s="407"/>
      <c r="J25" s="407"/>
      <c r="K25" s="407"/>
      <c r="L25" s="407"/>
      <c r="M25" s="407"/>
      <c r="N25" s="407"/>
    </row>
    <row r="26" spans="1:14" ht="19.5" customHeight="1">
      <c r="A26" s="212" t="str">
        <f>'t14'!A25</f>
        <v>SOMME RIMBORSATE PER PERSONALE COMAND./FUORI RUOLO/IN CONV.</v>
      </c>
      <c r="B26" s="317" t="str">
        <f>'t14'!B25</f>
        <v>P071</v>
      </c>
      <c r="C26" s="314">
        <f>'t14'!D25</f>
        <v>0</v>
      </c>
      <c r="D26" s="413" t="str">
        <f t="shared" si="2"/>
        <v> </v>
      </c>
      <c r="E26" s="1007"/>
      <c r="F26" s="1008"/>
      <c r="G26" s="1009"/>
      <c r="H26" s="407"/>
      <c r="I26" s="407"/>
      <c r="J26" s="407"/>
      <c r="K26" s="407"/>
      <c r="L26" s="407"/>
      <c r="M26" s="407"/>
      <c r="N26" s="407"/>
    </row>
    <row r="27" spans="1:14" ht="19.5" customHeight="1">
      <c r="A27" s="212" t="str">
        <f>'t14'!A26</f>
        <v>ALTRE SOMME RIMBORSATE ALLE AMMINISTRAZIONI</v>
      </c>
      <c r="B27" s="317" t="str">
        <f>'t14'!B26</f>
        <v>P074</v>
      </c>
      <c r="C27" s="314">
        <f>'t14'!D26</f>
        <v>0</v>
      </c>
      <c r="D27" s="413" t="str">
        <f t="shared" si="2"/>
        <v> </v>
      </c>
      <c r="E27" s="1007"/>
      <c r="F27" s="1008"/>
      <c r="G27" s="1009"/>
      <c r="H27" s="407"/>
      <c r="I27" s="407"/>
      <c r="J27" s="407"/>
      <c r="K27" s="407"/>
      <c r="L27" s="407"/>
      <c r="M27" s="407"/>
      <c r="N27" s="407"/>
    </row>
    <row r="28" spans="1:14" ht="19.5" customHeight="1">
      <c r="A28" s="212" t="str">
        <f>'t14'!A27</f>
        <v>SOMME RICEVUTE DA U.E. E/O PRIVATI (-)</v>
      </c>
      <c r="B28" s="317" t="str">
        <f>'t14'!B27</f>
        <v>P098</v>
      </c>
      <c r="C28" s="314">
        <f>'t14'!D27</f>
        <v>0</v>
      </c>
      <c r="D28" s="413" t="str">
        <f t="shared" si="2"/>
        <v> </v>
      </c>
      <c r="E28" s="1007"/>
      <c r="F28" s="1008"/>
      <c r="G28" s="1009"/>
      <c r="H28" s="407"/>
      <c r="I28" s="407"/>
      <c r="J28" s="407"/>
      <c r="K28" s="407"/>
      <c r="L28" s="407"/>
      <c r="M28" s="407"/>
      <c r="N28" s="407"/>
    </row>
    <row r="29" spans="1:14" ht="19.5" customHeight="1">
      <c r="A29" s="212" t="str">
        <f>'t14'!A28</f>
        <v>RIMBORSI RICEVUTI PER PERS. COMAND./FUORI RUOLO/IN CONV. (-)</v>
      </c>
      <c r="B29" s="317" t="str">
        <f>'t14'!B28</f>
        <v>P090</v>
      </c>
      <c r="C29" s="314">
        <f>'t14'!D28</f>
        <v>0</v>
      </c>
      <c r="D29" s="413" t="str">
        <f t="shared" si="2"/>
        <v> </v>
      </c>
      <c r="E29" s="1007"/>
      <c r="F29" s="1008"/>
      <c r="G29" s="1009"/>
      <c r="H29" s="407"/>
      <c r="I29" s="407"/>
      <c r="J29" s="407"/>
      <c r="K29" s="407"/>
      <c r="L29" s="407"/>
      <c r="M29" s="407"/>
      <c r="N29" s="407"/>
    </row>
    <row r="30" spans="1:14" ht="19.5" customHeight="1" thickBot="1">
      <c r="A30" s="212" t="str">
        <f>'t14'!A29</f>
        <v>ALTRI RIMBORSI RICEVUTI DALLE AMMINISTRAZIONI (-)</v>
      </c>
      <c r="B30" s="317" t="str">
        <f>'t14'!B29</f>
        <v>P099</v>
      </c>
      <c r="C30" s="314">
        <f>'t14'!D29</f>
        <v>0</v>
      </c>
      <c r="D30" s="413" t="str">
        <f t="shared" si="2"/>
        <v> </v>
      </c>
      <c r="E30" s="1010"/>
      <c r="F30" s="1011"/>
      <c r="G30" s="1012"/>
      <c r="H30" s="407"/>
      <c r="I30" s="407"/>
      <c r="J30" s="407"/>
      <c r="K30" s="407"/>
      <c r="L30" s="407"/>
      <c r="M30" s="407"/>
      <c r="N30" s="407"/>
    </row>
    <row r="31" spans="1:14" s="406" customFormat="1" ht="18" customHeight="1">
      <c r="A31" s="404" t="s">
        <v>59</v>
      </c>
      <c r="B31" s="404"/>
      <c r="C31" s="405">
        <f>SUM(C6:C30)</f>
        <v>0</v>
      </c>
      <c r="D31" s="404"/>
      <c r="E31" s="404"/>
      <c r="F31" s="404"/>
      <c r="G31" s="404"/>
      <c r="I31" s="408"/>
      <c r="J31" s="408"/>
      <c r="K31" s="408"/>
      <c r="L31" s="408"/>
      <c r="M31" s="408"/>
      <c r="N31" s="408"/>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5.xml><?xml version="1.0" encoding="utf-8"?>
<worksheet xmlns="http://schemas.openxmlformats.org/spreadsheetml/2006/main" xmlns:r="http://schemas.openxmlformats.org/officeDocument/2006/relationships">
  <sheetPr codeName="Foglio30"/>
  <dimension ref="A1:K14"/>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1.33203125" style="7" customWidth="1"/>
    <col min="3" max="3" width="21.33203125" style="401" customWidth="1"/>
    <col min="4" max="5" width="21.33203125" style="7" customWidth="1"/>
    <col min="6" max="6" width="21.33203125" style="353" customWidth="1"/>
    <col min="7" max="7" width="21.33203125" style="7" customWidth="1"/>
    <col min="8" max="8" width="9.33203125" style="102" customWidth="1"/>
  </cols>
  <sheetData>
    <row r="1" spans="1:11" s="5" customFormat="1" ht="43.5" customHeight="1">
      <c r="A1" s="903" t="str">
        <f>'t1'!A1</f>
        <v>MAGISTRATURA ORDINARIA - anno 2019</v>
      </c>
      <c r="B1" s="903"/>
      <c r="C1" s="903"/>
      <c r="D1" s="903"/>
      <c r="E1" s="903"/>
      <c r="F1" s="903"/>
      <c r="G1" s="903"/>
      <c r="I1" s="3"/>
      <c r="K1"/>
    </row>
    <row r="2" spans="3:11" s="5" customFormat="1" ht="12.75" customHeight="1">
      <c r="C2" s="398"/>
      <c r="D2" s="976"/>
      <c r="E2" s="976"/>
      <c r="F2" s="976"/>
      <c r="G2" s="976"/>
      <c r="H2" s="309"/>
      <c r="I2" s="3"/>
      <c r="K2"/>
    </row>
    <row r="3" spans="1:7" s="5" customFormat="1" ht="21" customHeight="1">
      <c r="A3" s="190" t="s">
        <v>271</v>
      </c>
      <c r="B3" s="7"/>
      <c r="C3" s="398"/>
      <c r="F3" s="354"/>
      <c r="G3" s="7"/>
    </row>
    <row r="4" spans="1:7" ht="53.25" customHeight="1">
      <c r="A4" s="176" t="s">
        <v>210</v>
      </c>
      <c r="B4" s="178" t="s">
        <v>172</v>
      </c>
      <c r="C4" s="399" t="str">
        <f>"Presenti 31.12."&amp;'t1'!L1&amp;" (Tab T1) uomini+donne della tabella T1"</f>
        <v>Presenti 31.12.2019 (Tab T1) uomini+donne della tabella T1</v>
      </c>
      <c r="D4" s="177" t="s">
        <v>266</v>
      </c>
      <c r="E4" s="177" t="s">
        <v>269</v>
      </c>
      <c r="F4" s="402" t="s">
        <v>270</v>
      </c>
      <c r="G4" s="177" t="s">
        <v>272</v>
      </c>
    </row>
    <row r="5" spans="1:8" s="194" customFormat="1" ht="10.5">
      <c r="A5" s="175"/>
      <c r="B5" s="188"/>
      <c r="C5" s="400" t="s">
        <v>174</v>
      </c>
      <c r="D5" s="192" t="s">
        <v>175</v>
      </c>
      <c r="E5" s="192" t="s">
        <v>176</v>
      </c>
      <c r="F5" s="403" t="s">
        <v>177</v>
      </c>
      <c r="G5" s="192"/>
      <c r="H5" s="102"/>
    </row>
    <row r="6" spans="1:7" ht="12.75">
      <c r="A6" s="131" t="str">
        <f>'t1'!A6</f>
        <v>MAGIST.  CON FUNZ. DIRETT. APICALI GIUDICANTI DI LEGITTIMITÀ</v>
      </c>
      <c r="B6" s="311" t="str">
        <f>'t1'!B6</f>
        <v>0D0MT1</v>
      </c>
      <c r="C6" s="639">
        <f>('t1'!K6+'t1'!L6)</f>
        <v>0</v>
      </c>
      <c r="D6" s="335">
        <f>'t5'!S7+'t5'!T7</f>
        <v>0</v>
      </c>
      <c r="E6" s="335">
        <f>'t4'!L6</f>
        <v>0</v>
      </c>
      <c r="F6" s="336">
        <f>'t12'!C6</f>
        <v>0</v>
      </c>
      <c r="G6" s="355" t="str">
        <f>IF(OR(AND(NOT(C6),NOT(D6),NOT(E6),NOT(F6)),AND((OR(C6,D6,E6)),F6)),"OK","ERRORE")</f>
        <v>OK</v>
      </c>
    </row>
    <row r="7" spans="1:7" ht="12.75">
      <c r="A7" s="131" t="str">
        <f>'t1'!A7</f>
        <v>MAGIST. CON FUNZ. DIRETT. APICALI REQUIRENTI DI LEGITTIMITÀ</v>
      </c>
      <c r="B7" s="311" t="str">
        <f>'t1'!B7</f>
        <v>0D0MT2</v>
      </c>
      <c r="C7" s="639">
        <f>('t1'!K7+'t1'!L7)</f>
        <v>0</v>
      </c>
      <c r="D7" s="335">
        <f>'t5'!S8+'t5'!T8</f>
        <v>0</v>
      </c>
      <c r="E7" s="335">
        <f>'t4'!L7</f>
        <v>0</v>
      </c>
      <c r="F7" s="336">
        <f>'t12'!C7</f>
        <v>0</v>
      </c>
      <c r="G7" s="355" t="str">
        <f aca="true" t="shared" si="0" ref="G7:G14">IF(OR(AND(NOT(C7),NOT(D7),NOT(E7),NOT(F7)),AND((OR(C7,D7,E7)),F7)),"OK","ERRORE")</f>
        <v>OK</v>
      </c>
    </row>
    <row r="8" spans="1:7" ht="12.75">
      <c r="A8" s="131" t="str">
        <f>'t1'!A8</f>
        <v>MAGISTRATI CON FUNZIONI DIRETTIVE SUPERIORI DI LEGITTIMITÀ</v>
      </c>
      <c r="B8" s="311" t="str">
        <f>'t1'!B8</f>
        <v>0D0MT3</v>
      </c>
      <c r="C8" s="639">
        <f>('t1'!K8+'t1'!L8)</f>
        <v>0</v>
      </c>
      <c r="D8" s="335">
        <f>'t5'!S9+'t5'!T9</f>
        <v>0</v>
      </c>
      <c r="E8" s="335">
        <f>'t4'!L8</f>
        <v>0</v>
      </c>
      <c r="F8" s="336">
        <f>'t12'!C8</f>
        <v>0</v>
      </c>
      <c r="G8" s="355" t="str">
        <f t="shared" si="0"/>
        <v>OK</v>
      </c>
    </row>
    <row r="9" spans="1:7" ht="12.75">
      <c r="A9" s="131" t="str">
        <f>'t1'!A9</f>
        <v>MAGISTRATI ORDINARI VII VALUT. PROF.</v>
      </c>
      <c r="B9" s="311" t="str">
        <f>'t1'!B9</f>
        <v>0D0MT4</v>
      </c>
      <c r="C9" s="639">
        <f>('t1'!K9+'t1'!L9)</f>
        <v>0</v>
      </c>
      <c r="D9" s="335">
        <f>'t5'!S10+'t5'!T10</f>
        <v>0</v>
      </c>
      <c r="E9" s="335">
        <f>'t4'!L9</f>
        <v>0</v>
      </c>
      <c r="F9" s="336">
        <f>'t12'!C9</f>
        <v>0</v>
      </c>
      <c r="G9" s="355" t="str">
        <f t="shared" si="0"/>
        <v>OK</v>
      </c>
    </row>
    <row r="10" spans="1:7" ht="12.75">
      <c r="A10" s="131" t="str">
        <f>'t1'!A10</f>
        <v>MAGISTRATI ORDINARI V VALUT. PROF.</v>
      </c>
      <c r="B10" s="311" t="str">
        <f>'t1'!B10</f>
        <v>0D0MT5</v>
      </c>
      <c r="C10" s="639">
        <f>('t1'!K10+'t1'!L10)</f>
        <v>0</v>
      </c>
      <c r="D10" s="335">
        <f>'t5'!S11+'t5'!T11</f>
        <v>0</v>
      </c>
      <c r="E10" s="335">
        <f>'t4'!L10</f>
        <v>0</v>
      </c>
      <c r="F10" s="336">
        <f>'t12'!C10</f>
        <v>0</v>
      </c>
      <c r="G10" s="355" t="str">
        <f t="shared" si="0"/>
        <v>OK</v>
      </c>
    </row>
    <row r="11" spans="1:7" ht="12.75">
      <c r="A11" s="131" t="str">
        <f>'t1'!A11</f>
        <v>MAGISTRATI ORDINARI DOPO 1 ANNO DALLA III VALUT. PROF.</v>
      </c>
      <c r="B11" s="311" t="str">
        <f>'t1'!B11</f>
        <v>0D0MT6</v>
      </c>
      <c r="C11" s="639">
        <f>('t1'!K11+'t1'!L11)</f>
        <v>0</v>
      </c>
      <c r="D11" s="335">
        <f>'t5'!S12+'t5'!T12</f>
        <v>0</v>
      </c>
      <c r="E11" s="335">
        <f>'t4'!L11</f>
        <v>0</v>
      </c>
      <c r="F11" s="336">
        <f>'t12'!C11</f>
        <v>0</v>
      </c>
      <c r="G11" s="355" t="str">
        <f t="shared" si="0"/>
        <v>OK</v>
      </c>
    </row>
    <row r="12" spans="1:7" ht="12.75">
      <c r="A12" s="131" t="str">
        <f>'t1'!A12</f>
        <v>MAGISTRATI ORDINARI  I  VALUT. PROF.</v>
      </c>
      <c r="B12" s="311" t="str">
        <f>'t1'!B12</f>
        <v>0D0MT7</v>
      </c>
      <c r="C12" s="639">
        <f>('t1'!K12+'t1'!L12)</f>
        <v>0</v>
      </c>
      <c r="D12" s="335">
        <f>'t5'!S13+'t5'!T13</f>
        <v>0</v>
      </c>
      <c r="E12" s="335">
        <f>'t4'!L12</f>
        <v>0</v>
      </c>
      <c r="F12" s="336">
        <f>'t12'!C12</f>
        <v>0</v>
      </c>
      <c r="G12" s="355" t="str">
        <f t="shared" si="0"/>
        <v>OK</v>
      </c>
    </row>
    <row r="13" spans="1:7" ht="12.75">
      <c r="A13" s="131" t="str">
        <f>'t1'!A13</f>
        <v>MAGISTRATI ORDINARI</v>
      </c>
      <c r="B13" s="311" t="str">
        <f>'t1'!B13</f>
        <v>0D0MT8</v>
      </c>
      <c r="C13" s="639">
        <f>('t1'!K13+'t1'!L13)</f>
        <v>0</v>
      </c>
      <c r="D13" s="335">
        <f>'t5'!S14+'t5'!T14</f>
        <v>0</v>
      </c>
      <c r="E13" s="335">
        <f>'t4'!L13</f>
        <v>0</v>
      </c>
      <c r="F13" s="336">
        <f>'t12'!C13</f>
        <v>0</v>
      </c>
      <c r="G13" s="355" t="str">
        <f t="shared" si="0"/>
        <v>OK</v>
      </c>
    </row>
    <row r="14" spans="1:7" ht="12.75">
      <c r="A14" s="131" t="str">
        <f>'t1'!A14</f>
        <v>MAGISTRATI ORDINARI IN TIROCINIO</v>
      </c>
      <c r="B14" s="311" t="str">
        <f>'t1'!B14</f>
        <v>0D0MT9</v>
      </c>
      <c r="C14" s="639">
        <f>('t1'!K14+'t1'!L14)</f>
        <v>0</v>
      </c>
      <c r="D14" s="335">
        <f>'t5'!S15+'t5'!T15</f>
        <v>0</v>
      </c>
      <c r="E14" s="335">
        <f>'t4'!L14</f>
        <v>0</v>
      </c>
      <c r="F14" s="336">
        <f>'t12'!C14</f>
        <v>0</v>
      </c>
      <c r="G14" s="355"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6.xml><?xml version="1.0" encoding="utf-8"?>
<worksheet xmlns="http://schemas.openxmlformats.org/spreadsheetml/2006/main" xmlns:r="http://schemas.openxmlformats.org/officeDocument/2006/relationships">
  <sheetPr codeName="Foglio31"/>
  <dimension ref="A1:I14"/>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1.33203125" style="7" customWidth="1"/>
    <col min="3" max="3" width="17.83203125" style="7" customWidth="1"/>
    <col min="4" max="4" width="26.66015625" style="353" customWidth="1"/>
    <col min="5" max="5" width="15.83203125" style="7" customWidth="1"/>
    <col min="6" max="6" width="9.33203125" style="102" customWidth="1"/>
  </cols>
  <sheetData>
    <row r="1" spans="1:9" s="5" customFormat="1" ht="43.5" customHeight="1">
      <c r="A1" s="903" t="str">
        <f>'t1'!A1</f>
        <v>MAGISTRATURA ORDINARIA - anno 2019</v>
      </c>
      <c r="B1" s="903"/>
      <c r="C1" s="903"/>
      <c r="D1" s="903"/>
      <c r="E1" s="903"/>
      <c r="G1" s="3"/>
      <c r="I1"/>
    </row>
    <row r="2" spans="3:9" s="5" customFormat="1" ht="12.75" customHeight="1">
      <c r="C2" s="976"/>
      <c r="D2" s="976"/>
      <c r="E2" s="976"/>
      <c r="F2" s="309"/>
      <c r="G2" s="3"/>
      <c r="I2"/>
    </row>
    <row r="3" spans="1:5" s="5" customFormat="1" ht="21" customHeight="1">
      <c r="A3" s="190" t="s">
        <v>305</v>
      </c>
      <c r="B3" s="7"/>
      <c r="D3" s="354"/>
      <c r="E3" s="7"/>
    </row>
    <row r="4" spans="1:5" ht="81.75" customHeight="1">
      <c r="A4" s="176" t="s">
        <v>210</v>
      </c>
      <c r="B4" s="178" t="s">
        <v>172</v>
      </c>
      <c r="C4" s="177" t="s">
        <v>267</v>
      </c>
      <c r="D4" s="402" t="s">
        <v>287</v>
      </c>
      <c r="E4" s="177" t="s">
        <v>277</v>
      </c>
    </row>
    <row r="5" spans="1:6" s="194" customFormat="1" ht="10.5">
      <c r="A5" s="175"/>
      <c r="B5" s="188"/>
      <c r="C5" s="192" t="s">
        <v>174</v>
      </c>
      <c r="D5" s="403" t="s">
        <v>175</v>
      </c>
      <c r="E5" s="192"/>
      <c r="F5" s="193"/>
    </row>
    <row r="6" spans="1:5" ht="12.75">
      <c r="A6" s="131" t="str">
        <f>'t1'!A6</f>
        <v>MAGIST.  CON FUNZ. DIRETT. APICALI GIUDICANTI DI LEGITTIMITÀ</v>
      </c>
      <c r="B6" s="311" t="str">
        <f>'t1'!B6</f>
        <v>0D0MT1</v>
      </c>
      <c r="C6" s="335" t="e">
        <f>'t13'!#REF!</f>
        <v>#REF!</v>
      </c>
      <c r="D6" s="336">
        <f>('t3'!M6+'t3'!N6+'t3'!O6+'t3'!P6+'t3'!Q6+'t3'!R6)+('t12'!C6/12)</f>
        <v>0</v>
      </c>
      <c r="E6" s="355" t="e">
        <f>IF(OR((NOT(C6)),(AND(C6&gt;=0,D6&gt;0))),"OK","ERRORE")</f>
        <v>#REF!</v>
      </c>
    </row>
    <row r="7" spans="1:5" ht="12.75">
      <c r="A7" s="131" t="str">
        <f>'t1'!A7</f>
        <v>MAGIST. CON FUNZ. DIRETT. APICALI REQUIRENTI DI LEGITTIMITÀ</v>
      </c>
      <c r="B7" s="311" t="str">
        <f>'t1'!B7</f>
        <v>0D0MT2</v>
      </c>
      <c r="C7" s="335" t="e">
        <f>'t13'!#REF!</f>
        <v>#REF!</v>
      </c>
      <c r="D7" s="336">
        <f>('t3'!M7+'t3'!N7+'t3'!O7+'t3'!P7+'t3'!Q7+'t3'!R7)+('t12'!C7/12)</f>
        <v>0</v>
      </c>
      <c r="E7" s="355" t="e">
        <f aca="true" t="shared" si="0" ref="E7:E14">IF(OR((NOT(C7)),(AND(C7&gt;=0,D7&gt;0))),"OK","ERRORE")</f>
        <v>#REF!</v>
      </c>
    </row>
    <row r="8" spans="1:5" ht="12.75">
      <c r="A8" s="131" t="str">
        <f>'t1'!A8</f>
        <v>MAGISTRATI CON FUNZIONI DIRETTIVE SUPERIORI DI LEGITTIMITÀ</v>
      </c>
      <c r="B8" s="311" t="str">
        <f>'t1'!B8</f>
        <v>0D0MT3</v>
      </c>
      <c r="C8" s="335" t="e">
        <f>'t13'!#REF!</f>
        <v>#REF!</v>
      </c>
      <c r="D8" s="336">
        <f>('t3'!M8+'t3'!N8+'t3'!O8+'t3'!P8+'t3'!Q8+'t3'!R8)+('t12'!C8/12)</f>
        <v>0</v>
      </c>
      <c r="E8" s="355" t="e">
        <f t="shared" si="0"/>
        <v>#REF!</v>
      </c>
    </row>
    <row r="9" spans="1:5" ht="12.75">
      <c r="A9" s="131" t="str">
        <f>'t1'!A9</f>
        <v>MAGISTRATI ORDINARI VII VALUT. PROF.</v>
      </c>
      <c r="B9" s="311" t="str">
        <f>'t1'!B9</f>
        <v>0D0MT4</v>
      </c>
      <c r="C9" s="335" t="e">
        <f>'t13'!#REF!</f>
        <v>#REF!</v>
      </c>
      <c r="D9" s="336">
        <f>('t3'!M9+'t3'!N9+'t3'!O9+'t3'!P9+'t3'!Q9+'t3'!R9)+('t12'!C9/12)</f>
        <v>0</v>
      </c>
      <c r="E9" s="355" t="e">
        <f t="shared" si="0"/>
        <v>#REF!</v>
      </c>
    </row>
    <row r="10" spans="1:5" ht="12.75">
      <c r="A10" s="131" t="str">
        <f>'t1'!A10</f>
        <v>MAGISTRATI ORDINARI V VALUT. PROF.</v>
      </c>
      <c r="B10" s="311" t="str">
        <f>'t1'!B10</f>
        <v>0D0MT5</v>
      </c>
      <c r="C10" s="335" t="e">
        <f>'t13'!#REF!</f>
        <v>#REF!</v>
      </c>
      <c r="D10" s="336">
        <f>('t3'!M10+'t3'!N10+'t3'!O10+'t3'!P10+'t3'!Q10+'t3'!R10)+('t12'!C10/12)</f>
        <v>0</v>
      </c>
      <c r="E10" s="355" t="e">
        <f t="shared" si="0"/>
        <v>#REF!</v>
      </c>
    </row>
    <row r="11" spans="1:5" ht="12.75">
      <c r="A11" s="131" t="str">
        <f>'t1'!A11</f>
        <v>MAGISTRATI ORDINARI DOPO 1 ANNO DALLA III VALUT. PROF.</v>
      </c>
      <c r="B11" s="311" t="str">
        <f>'t1'!B11</f>
        <v>0D0MT6</v>
      </c>
      <c r="C11" s="335" t="e">
        <f>'t13'!#REF!</f>
        <v>#REF!</v>
      </c>
      <c r="D11" s="336">
        <f>('t3'!M11+'t3'!N11+'t3'!O11+'t3'!P11+'t3'!Q11+'t3'!R11)+('t12'!C11/12)</f>
        <v>0</v>
      </c>
      <c r="E11" s="355" t="e">
        <f t="shared" si="0"/>
        <v>#REF!</v>
      </c>
    </row>
    <row r="12" spans="1:5" ht="12.75">
      <c r="A12" s="131" t="str">
        <f>'t1'!A12</f>
        <v>MAGISTRATI ORDINARI  I  VALUT. PROF.</v>
      </c>
      <c r="B12" s="311" t="str">
        <f>'t1'!B12</f>
        <v>0D0MT7</v>
      </c>
      <c r="C12" s="335" t="e">
        <f>'t13'!#REF!</f>
        <v>#REF!</v>
      </c>
      <c r="D12" s="336">
        <f>('t3'!M12+'t3'!N12+'t3'!O12+'t3'!P12+'t3'!Q12+'t3'!R12)+('t12'!C12/12)</f>
        <v>0</v>
      </c>
      <c r="E12" s="355" t="e">
        <f t="shared" si="0"/>
        <v>#REF!</v>
      </c>
    </row>
    <row r="13" spans="1:5" ht="12.75">
      <c r="A13" s="131" t="str">
        <f>'t1'!A13</f>
        <v>MAGISTRATI ORDINARI</v>
      </c>
      <c r="B13" s="311" t="str">
        <f>'t1'!B13</f>
        <v>0D0MT8</v>
      </c>
      <c r="C13" s="335" t="e">
        <f>'t13'!#REF!</f>
        <v>#REF!</v>
      </c>
      <c r="D13" s="336">
        <f>('t3'!M13+'t3'!N13+'t3'!O13+'t3'!P13+'t3'!Q13+'t3'!R13)+('t12'!C13/12)</f>
        <v>0</v>
      </c>
      <c r="E13" s="355" t="e">
        <f t="shared" si="0"/>
        <v>#REF!</v>
      </c>
    </row>
    <row r="14" spans="1:5" ht="12.75">
      <c r="A14" s="131" t="str">
        <f>'t1'!A14</f>
        <v>MAGISTRATI ORDINARI IN TIROCINIO</v>
      </c>
      <c r="B14" s="311" t="str">
        <f>'t1'!B14</f>
        <v>0D0MT9</v>
      </c>
      <c r="C14" s="335" t="e">
        <f>'t13'!#REF!</f>
        <v>#REF!</v>
      </c>
      <c r="D14" s="336">
        <f>('t3'!M14+'t3'!N14+'t3'!O14+'t3'!P14+'t3'!Q14+'t3'!R14)+('t12'!C14/12)</f>
        <v>0</v>
      </c>
      <c r="E14" s="355" t="e">
        <f t="shared" si="0"/>
        <v>#REF!</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28"/>
  <dimension ref="A1:N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60.660156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03" t="str">
        <f>'t1'!A1</f>
        <v>MAGISTRATURA ORDINARIA - anno 2019</v>
      </c>
      <c r="B1" s="903"/>
      <c r="C1" s="903"/>
      <c r="D1" s="903"/>
      <c r="E1" s="903"/>
      <c r="F1" s="903"/>
      <c r="G1" s="903"/>
      <c r="H1" s="903"/>
      <c r="I1" s="903"/>
      <c r="J1" s="903"/>
      <c r="K1" s="903"/>
      <c r="L1" s="3"/>
      <c r="N1"/>
    </row>
    <row r="2" spans="4:14" s="5" customFormat="1" ht="12.75" customHeight="1">
      <c r="D2" s="976"/>
      <c r="E2" s="976"/>
      <c r="F2" s="976"/>
      <c r="G2" s="976"/>
      <c r="H2" s="976"/>
      <c r="I2" s="976"/>
      <c r="J2" s="976"/>
      <c r="K2" s="976"/>
      <c r="L2" s="3"/>
      <c r="N2"/>
    </row>
    <row r="3" spans="1:3" s="5" customFormat="1" ht="21" customHeight="1">
      <c r="A3" s="190" t="s">
        <v>504</v>
      </c>
      <c r="B3" s="7"/>
      <c r="C3" s="7"/>
    </row>
    <row r="4" spans="1:12" ht="45">
      <c r="A4" s="176" t="s">
        <v>210</v>
      </c>
      <c r="B4" s="178" t="s">
        <v>172</v>
      </c>
      <c r="C4" s="177" t="s">
        <v>37</v>
      </c>
      <c r="D4" s="177" t="s">
        <v>38</v>
      </c>
      <c r="E4" s="177" t="s">
        <v>39</v>
      </c>
      <c r="F4" s="177" t="s">
        <v>40</v>
      </c>
      <c r="G4" s="177" t="s">
        <v>41</v>
      </c>
      <c r="H4" s="177" t="s">
        <v>42</v>
      </c>
      <c r="I4" s="177" t="s">
        <v>43</v>
      </c>
      <c r="J4" s="177" t="s">
        <v>44</v>
      </c>
      <c r="K4" s="177" t="s">
        <v>45</v>
      </c>
      <c r="L4" s="547" t="s">
        <v>373</v>
      </c>
    </row>
    <row r="5" spans="1:12" s="194" customFormat="1" ht="56.25" hidden="1">
      <c r="A5" s="175"/>
      <c r="B5" s="188"/>
      <c r="C5" s="188" t="s">
        <v>174</v>
      </c>
      <c r="D5" s="192" t="s">
        <v>175</v>
      </c>
      <c r="E5" s="192" t="s">
        <v>176</v>
      </c>
      <c r="F5" s="192" t="s">
        <v>177</v>
      </c>
      <c r="G5" s="192" t="s">
        <v>178</v>
      </c>
      <c r="H5" s="192" t="s">
        <v>198</v>
      </c>
      <c r="I5" s="192"/>
      <c r="J5" s="590" t="s">
        <v>386</v>
      </c>
      <c r="K5" s="590" t="s">
        <v>473</v>
      </c>
      <c r="L5" s="592"/>
    </row>
    <row r="6" spans="1:12" ht="12.75">
      <c r="A6" s="131" t="str">
        <f>'t1'!A6</f>
        <v>MAGIST.  CON FUNZ. DIRETT. APICALI GIUDICANTI DI LEGITTIMITÀ</v>
      </c>
      <c r="B6" s="311" t="str">
        <f>'t1'!B6</f>
        <v>0D0MT1</v>
      </c>
      <c r="C6" s="335">
        <f>'t11'!U8+'t11'!V8</f>
        <v>0</v>
      </c>
      <c r="D6" s="335">
        <f>'t1'!K6+'t1'!L6</f>
        <v>0</v>
      </c>
      <c r="E6" s="335">
        <f>'t3'!M6+'t3'!N6+'t3'!O6+'t3'!P6+'t3'!Q6+'t3'!R6</f>
        <v>0</v>
      </c>
      <c r="F6" s="335">
        <f>'t4'!L6</f>
        <v>0</v>
      </c>
      <c r="G6" s="333">
        <f>'t4'!C15</f>
        <v>0</v>
      </c>
      <c r="H6" s="335">
        <f>'t5'!S7+'t5'!T7</f>
        <v>0</v>
      </c>
      <c r="I6" s="355" t="str">
        <f>IF(AND(J6="OK",K6="OK"),"OK","ERRORE")</f>
        <v>OK</v>
      </c>
      <c r="J6" s="355" t="str">
        <f aca="true" t="shared" si="0" ref="J6:J14">IF(AND(C6&gt;0,D6=0,E6=0,F6=0,G6=0,H6=0),"KO","OK")</f>
        <v>OK</v>
      </c>
      <c r="K6" s="355" t="str">
        <f aca="true" t="shared" si="1" ref="K6:K14">IF(AND(C6=0,OR(D6&gt;0,E6&gt;0,F6&gt;0,G6&gt;0,H6&gt;0)),"KO","OK")</f>
        <v>OK</v>
      </c>
      <c r="L6" s="593">
        <f>IF(K6="KO",$K$5,IF(J6="KO",$J$5,""))</f>
      </c>
    </row>
    <row r="7" spans="1:12" ht="12.75">
      <c r="A7" s="131" t="str">
        <f>'t1'!A7</f>
        <v>MAGIST. CON FUNZ. DIRETT. APICALI REQUIRENTI DI LEGITTIMITÀ</v>
      </c>
      <c r="B7" s="311" t="str">
        <f>'t1'!B7</f>
        <v>0D0MT2</v>
      </c>
      <c r="C7" s="335">
        <f>'t11'!U9+'t11'!V9</f>
        <v>0</v>
      </c>
      <c r="D7" s="335">
        <f>'t1'!K7+'t1'!L7</f>
        <v>0</v>
      </c>
      <c r="E7" s="335">
        <f>'t3'!M7+'t3'!N7+'t3'!O7+'t3'!P7+'t3'!Q7+'t3'!R7</f>
        <v>0</v>
      </c>
      <c r="F7" s="335">
        <f>'t4'!L7</f>
        <v>0</v>
      </c>
      <c r="G7" s="333">
        <f>'t4'!D15</f>
        <v>0</v>
      </c>
      <c r="H7" s="335">
        <f>'t5'!S8+'t5'!T8</f>
        <v>0</v>
      </c>
      <c r="I7" s="355" t="str">
        <f aca="true" t="shared" si="2" ref="I7:I14">IF(AND(J7="OK",K7="OK"),"OK","ERRORE")</f>
        <v>OK</v>
      </c>
      <c r="J7" s="355" t="str">
        <f t="shared" si="0"/>
        <v>OK</v>
      </c>
      <c r="K7" s="355" t="str">
        <f t="shared" si="1"/>
        <v>OK</v>
      </c>
      <c r="L7" s="593">
        <f aca="true" t="shared" si="3" ref="L7:L14">IF(K7="KO",$K$5,IF(J7="KO",$J$5,""))</f>
      </c>
    </row>
    <row r="8" spans="1:12" ht="12.75">
      <c r="A8" s="131" t="str">
        <f>'t1'!A8</f>
        <v>MAGISTRATI CON FUNZIONI DIRETTIVE SUPERIORI DI LEGITTIMITÀ</v>
      </c>
      <c r="B8" s="311" t="str">
        <f>'t1'!B8</f>
        <v>0D0MT3</v>
      </c>
      <c r="C8" s="335">
        <f>'t11'!U10+'t11'!V10</f>
        <v>0</v>
      </c>
      <c r="D8" s="335">
        <f>'t1'!K8+'t1'!L8</f>
        <v>0</v>
      </c>
      <c r="E8" s="335">
        <f>'t3'!M8+'t3'!N8+'t3'!O8+'t3'!P8+'t3'!Q8+'t3'!R8</f>
        <v>0</v>
      </c>
      <c r="F8" s="335">
        <f>'t4'!L8</f>
        <v>0</v>
      </c>
      <c r="G8" s="333">
        <f>'t4'!E15</f>
        <v>0</v>
      </c>
      <c r="H8" s="335">
        <f>'t5'!S9+'t5'!T9</f>
        <v>0</v>
      </c>
      <c r="I8" s="355" t="str">
        <f t="shared" si="2"/>
        <v>OK</v>
      </c>
      <c r="J8" s="355" t="str">
        <f t="shared" si="0"/>
        <v>OK</v>
      </c>
      <c r="K8" s="355" t="str">
        <f t="shared" si="1"/>
        <v>OK</v>
      </c>
      <c r="L8" s="593">
        <f t="shared" si="3"/>
      </c>
    </row>
    <row r="9" spans="1:12" ht="12.75">
      <c r="A9" s="131" t="str">
        <f>'t1'!A9</f>
        <v>MAGISTRATI ORDINARI VII VALUT. PROF.</v>
      </c>
      <c r="B9" s="311" t="str">
        <f>'t1'!B9</f>
        <v>0D0MT4</v>
      </c>
      <c r="C9" s="335">
        <f>'t11'!U11+'t11'!V11</f>
        <v>0</v>
      </c>
      <c r="D9" s="335">
        <f>'t1'!K9+'t1'!L9</f>
        <v>0</v>
      </c>
      <c r="E9" s="335">
        <f>'t3'!M9+'t3'!N9+'t3'!O9+'t3'!P9+'t3'!Q9+'t3'!R9</f>
        <v>0</v>
      </c>
      <c r="F9" s="335">
        <f>'t4'!L9</f>
        <v>0</v>
      </c>
      <c r="G9" s="333">
        <f>'t4'!F15</f>
        <v>0</v>
      </c>
      <c r="H9" s="335">
        <f>'t5'!S10+'t5'!T10</f>
        <v>0</v>
      </c>
      <c r="I9" s="355" t="str">
        <f t="shared" si="2"/>
        <v>OK</v>
      </c>
      <c r="J9" s="355" t="str">
        <f t="shared" si="0"/>
        <v>OK</v>
      </c>
      <c r="K9" s="355" t="str">
        <f t="shared" si="1"/>
        <v>OK</v>
      </c>
      <c r="L9" s="593">
        <f t="shared" si="3"/>
      </c>
    </row>
    <row r="10" spans="1:12" ht="12.75">
      <c r="A10" s="131" t="str">
        <f>'t1'!A10</f>
        <v>MAGISTRATI ORDINARI V VALUT. PROF.</v>
      </c>
      <c r="B10" s="311" t="str">
        <f>'t1'!B10</f>
        <v>0D0MT5</v>
      </c>
      <c r="C10" s="335">
        <f>'t11'!U12+'t11'!V12</f>
        <v>0</v>
      </c>
      <c r="D10" s="335">
        <f>'t1'!K10+'t1'!L10</f>
        <v>0</v>
      </c>
      <c r="E10" s="335">
        <f>'t3'!M10+'t3'!N10+'t3'!O10+'t3'!P10+'t3'!Q10+'t3'!R10</f>
        <v>0</v>
      </c>
      <c r="F10" s="335">
        <f>'t4'!L10</f>
        <v>0</v>
      </c>
      <c r="G10" s="333">
        <f>'t4'!G15</f>
        <v>0</v>
      </c>
      <c r="H10" s="335">
        <f>'t5'!S11+'t5'!T11</f>
        <v>0</v>
      </c>
      <c r="I10" s="355" t="str">
        <f t="shared" si="2"/>
        <v>OK</v>
      </c>
      <c r="J10" s="355" t="str">
        <f t="shared" si="0"/>
        <v>OK</v>
      </c>
      <c r="K10" s="355" t="str">
        <f t="shared" si="1"/>
        <v>OK</v>
      </c>
      <c r="L10" s="593">
        <f t="shared" si="3"/>
      </c>
    </row>
    <row r="11" spans="1:12" ht="12.75">
      <c r="A11" s="131" t="str">
        <f>'t1'!A11</f>
        <v>MAGISTRATI ORDINARI DOPO 1 ANNO DALLA III VALUT. PROF.</v>
      </c>
      <c r="B11" s="311" t="str">
        <f>'t1'!B11</f>
        <v>0D0MT6</v>
      </c>
      <c r="C11" s="335">
        <f>'t11'!U13+'t11'!V13</f>
        <v>0</v>
      </c>
      <c r="D11" s="335">
        <f>'t1'!K11+'t1'!L11</f>
        <v>0</v>
      </c>
      <c r="E11" s="335">
        <f>'t3'!M11+'t3'!N11+'t3'!O11+'t3'!P11+'t3'!Q11+'t3'!R11</f>
        <v>0</v>
      </c>
      <c r="F11" s="335">
        <f>'t4'!L11</f>
        <v>0</v>
      </c>
      <c r="G11" s="333">
        <f>'t4'!H15</f>
        <v>0</v>
      </c>
      <c r="H11" s="335">
        <f>'t5'!S12+'t5'!T12</f>
        <v>0</v>
      </c>
      <c r="I11" s="355" t="str">
        <f t="shared" si="2"/>
        <v>OK</v>
      </c>
      <c r="J11" s="355" t="str">
        <f t="shared" si="0"/>
        <v>OK</v>
      </c>
      <c r="K11" s="355" t="str">
        <f t="shared" si="1"/>
        <v>OK</v>
      </c>
      <c r="L11" s="593">
        <f t="shared" si="3"/>
      </c>
    </row>
    <row r="12" spans="1:12" ht="12.75">
      <c r="A12" s="131" t="str">
        <f>'t1'!A12</f>
        <v>MAGISTRATI ORDINARI  I  VALUT. PROF.</v>
      </c>
      <c r="B12" s="311" t="str">
        <f>'t1'!B12</f>
        <v>0D0MT7</v>
      </c>
      <c r="C12" s="335">
        <f>'t11'!U14+'t11'!V14</f>
        <v>0</v>
      </c>
      <c r="D12" s="335">
        <f>'t1'!K12+'t1'!L12</f>
        <v>0</v>
      </c>
      <c r="E12" s="335">
        <f>'t3'!M12+'t3'!N12+'t3'!O12+'t3'!P12+'t3'!Q12+'t3'!R12</f>
        <v>0</v>
      </c>
      <c r="F12" s="335">
        <f>'t4'!L12</f>
        <v>0</v>
      </c>
      <c r="G12" s="333">
        <f>'t4'!I15</f>
        <v>0</v>
      </c>
      <c r="H12" s="335">
        <f>'t5'!S13+'t5'!T13</f>
        <v>0</v>
      </c>
      <c r="I12" s="355" t="str">
        <f t="shared" si="2"/>
        <v>OK</v>
      </c>
      <c r="J12" s="355" t="str">
        <f t="shared" si="0"/>
        <v>OK</v>
      </c>
      <c r="K12" s="355" t="str">
        <f t="shared" si="1"/>
        <v>OK</v>
      </c>
      <c r="L12" s="593">
        <f t="shared" si="3"/>
      </c>
    </row>
    <row r="13" spans="1:12" ht="12.75">
      <c r="A13" s="131" t="str">
        <f>'t1'!A13</f>
        <v>MAGISTRATI ORDINARI</v>
      </c>
      <c r="B13" s="311" t="str">
        <f>'t1'!B13</f>
        <v>0D0MT8</v>
      </c>
      <c r="C13" s="335">
        <f>'t11'!U15+'t11'!V15</f>
        <v>0</v>
      </c>
      <c r="D13" s="335">
        <f>'t1'!K13+'t1'!L13</f>
        <v>0</v>
      </c>
      <c r="E13" s="335">
        <f>'t3'!M13+'t3'!N13+'t3'!O13+'t3'!P13+'t3'!Q13+'t3'!R13</f>
        <v>0</v>
      </c>
      <c r="F13" s="335">
        <f>'t4'!L13</f>
        <v>0</v>
      </c>
      <c r="G13" s="333">
        <f>'t4'!J15</f>
        <v>0</v>
      </c>
      <c r="H13" s="335">
        <f>'t5'!S14+'t5'!T14</f>
        <v>0</v>
      </c>
      <c r="I13" s="355" t="str">
        <f t="shared" si="2"/>
        <v>OK</v>
      </c>
      <c r="J13" s="355" t="str">
        <f t="shared" si="0"/>
        <v>OK</v>
      </c>
      <c r="K13" s="355" t="str">
        <f t="shared" si="1"/>
        <v>OK</v>
      </c>
      <c r="L13" s="593">
        <f t="shared" si="3"/>
      </c>
    </row>
    <row r="14" spans="1:12" ht="12.75">
      <c r="A14" s="131" t="str">
        <f>'t1'!A14</f>
        <v>MAGISTRATI ORDINARI IN TIROCINIO</v>
      </c>
      <c r="B14" s="311" t="str">
        <f>'t1'!B14</f>
        <v>0D0MT9</v>
      </c>
      <c r="C14" s="335">
        <f>'t11'!U16+'t11'!V16</f>
        <v>0</v>
      </c>
      <c r="D14" s="335">
        <f>'t1'!K14+'t1'!L14</f>
        <v>0</v>
      </c>
      <c r="E14" s="335">
        <f>'t3'!M14+'t3'!N14+'t3'!O14+'t3'!P14+'t3'!Q14+'t3'!R14</f>
        <v>0</v>
      </c>
      <c r="F14" s="335">
        <f>'t4'!L14</f>
        <v>0</v>
      </c>
      <c r="G14" s="333">
        <f>'t4'!K15</f>
        <v>0</v>
      </c>
      <c r="H14" s="335">
        <f>'t5'!S15+'t5'!T15</f>
        <v>0</v>
      </c>
      <c r="I14" s="355" t="str">
        <f t="shared" si="2"/>
        <v>OK</v>
      </c>
      <c r="J14" s="355" t="str">
        <f t="shared" si="0"/>
        <v>OK</v>
      </c>
      <c r="K14" s="355" t="str">
        <f t="shared" si="1"/>
        <v>OK</v>
      </c>
      <c r="L14" s="593">
        <f t="shared" si="3"/>
      </c>
    </row>
  </sheetData>
  <sheetProtection password="EA98" sheet="1" formatColumns="0" selectLockedCells="1" selectUnlockedCells="1"/>
  <mergeCells count="2">
    <mergeCell ref="A1:K1"/>
    <mergeCell ref="D2:K2"/>
  </mergeCells>
  <conditionalFormatting sqref="I6:I14">
    <cfRule type="notContainsText" priority="1" dxfId="6"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8.xml><?xml version="1.0" encoding="utf-8"?>
<worksheet xmlns="http://schemas.openxmlformats.org/spreadsheetml/2006/main" xmlns:r="http://schemas.openxmlformats.org/officeDocument/2006/relationships">
  <sheetPr codeName="Foglio33"/>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5" sqref="B5"/>
    </sheetView>
  </sheetViews>
  <sheetFormatPr defaultColWidth="9.33203125" defaultRowHeight="10.5"/>
  <cols>
    <col min="1" max="1" width="60.66015625" style="5" customWidth="1"/>
    <col min="2" max="2" width="10" style="7" customWidth="1"/>
    <col min="3" max="4" width="17.83203125" style="7" customWidth="1"/>
    <col min="5" max="5" width="16.33203125" style="7" customWidth="1"/>
    <col min="6" max="6" width="15.83203125" style="102" customWidth="1"/>
    <col min="7" max="7" width="18.33203125" style="102" customWidth="1"/>
    <col min="8" max="8" width="16.33203125" style="7" customWidth="1"/>
    <col min="9" max="9" width="15.83203125" style="102" customWidth="1"/>
    <col min="10" max="10" width="18.33203125" style="7" customWidth="1"/>
  </cols>
  <sheetData>
    <row r="1" spans="1:13" s="5" customFormat="1" ht="43.5" customHeight="1">
      <c r="A1" s="903" t="str">
        <f>'t1'!A1</f>
        <v>MAGISTRATURA ORDINARIA - anno 2019</v>
      </c>
      <c r="B1" s="903"/>
      <c r="C1" s="903"/>
      <c r="D1" s="903"/>
      <c r="E1" s="903"/>
      <c r="F1" s="903"/>
      <c r="G1" s="903"/>
      <c r="H1" s="903"/>
      <c r="I1" s="903"/>
      <c r="J1" s="903"/>
      <c r="K1" s="3"/>
      <c r="M1"/>
    </row>
    <row r="2" spans="4:13" s="5" customFormat="1" ht="12.75" customHeight="1">
      <c r="D2" s="976"/>
      <c r="E2" s="976"/>
      <c r="F2" s="976"/>
      <c r="G2" s="976"/>
      <c r="H2" s="976"/>
      <c r="I2" s="976"/>
      <c r="J2" s="976"/>
      <c r="K2" s="3"/>
      <c r="M2"/>
    </row>
    <row r="3" spans="1:3" s="5" customFormat="1" ht="21" customHeight="1">
      <c r="A3" s="190" t="s">
        <v>367</v>
      </c>
      <c r="B3" s="7"/>
      <c r="C3" s="7"/>
    </row>
    <row r="4" spans="1:10" ht="33.75">
      <c r="A4" s="176" t="s">
        <v>210</v>
      </c>
      <c r="B4" s="178" t="s">
        <v>172</v>
      </c>
      <c r="C4" s="547" t="s">
        <v>267</v>
      </c>
      <c r="D4" s="177" t="s">
        <v>274</v>
      </c>
      <c r="E4" s="547" t="s">
        <v>360</v>
      </c>
      <c r="F4" s="547" t="s">
        <v>366</v>
      </c>
      <c r="G4" s="177" t="s">
        <v>311</v>
      </c>
      <c r="H4" s="547" t="s">
        <v>361</v>
      </c>
      <c r="I4" s="547" t="s">
        <v>366</v>
      </c>
      <c r="J4" s="547" t="s">
        <v>362</v>
      </c>
    </row>
    <row r="5" spans="1:10" s="194" customFormat="1" ht="10.5">
      <c r="A5" s="175"/>
      <c r="B5" s="188"/>
      <c r="C5" s="188" t="s">
        <v>174</v>
      </c>
      <c r="D5" s="192" t="s">
        <v>175</v>
      </c>
      <c r="E5" s="192" t="s">
        <v>358</v>
      </c>
      <c r="F5" s="192" t="s">
        <v>364</v>
      </c>
      <c r="G5" s="192" t="s">
        <v>178</v>
      </c>
      <c r="H5" s="192" t="s">
        <v>359</v>
      </c>
      <c r="I5" s="192" t="s">
        <v>365</v>
      </c>
      <c r="J5" s="192"/>
    </row>
    <row r="6" spans="1:10" ht="12.75">
      <c r="A6" s="131" t="str">
        <f>'t1'!A6</f>
        <v>MAGIST.  CON FUNZ. DIRETT. APICALI GIUDICANTI DI LEGITTIMITÀ</v>
      </c>
      <c r="B6" s="311" t="str">
        <f>'t1'!B6</f>
        <v>0D0MT1</v>
      </c>
      <c r="C6" s="335" t="e">
        <f>'t13'!#REF!</f>
        <v>#REF!</v>
      </c>
      <c r="D6" s="335" t="e">
        <f>'t13'!#REF!</f>
        <v>#REF!</v>
      </c>
      <c r="E6" s="337" t="e">
        <f>IF($C6=0," ",IF(D6=0," ",D6/$C6))</f>
        <v>#REF!</v>
      </c>
      <c r="F6" s="316" t="e">
        <f>IF($C6=0," ",IF(D6=0," ",IF(E6&gt;0.2,"ERRORE","OK")))</f>
        <v>#REF!</v>
      </c>
      <c r="G6" s="335" t="e">
        <f>'t13'!#REF!</f>
        <v>#REF!</v>
      </c>
      <c r="H6" s="337" t="e">
        <f>IF($C6=0," ",IF(G6=0," ",G6/$C6))</f>
        <v>#REF!</v>
      </c>
      <c r="I6" s="316" t="e">
        <f>IF($C6=0," ",IF(G6=0," ",IF(H6&gt;0.2,"ERRORE","OK")))</f>
        <v>#REF!</v>
      </c>
      <c r="J6" s="355" t="e">
        <f>IF(OR(F6="ERRORE",I6="ERRORE"),"ERRORE","OK")</f>
        <v>#REF!</v>
      </c>
    </row>
    <row r="7" spans="1:10" ht="12.75">
      <c r="A7" s="131" t="str">
        <f>'t1'!A7</f>
        <v>MAGIST. CON FUNZ. DIRETT. APICALI REQUIRENTI DI LEGITTIMITÀ</v>
      </c>
      <c r="B7" s="311" t="str">
        <f>'t1'!B7</f>
        <v>0D0MT2</v>
      </c>
      <c r="C7" s="335" t="e">
        <f>'t13'!#REF!</f>
        <v>#REF!</v>
      </c>
      <c r="D7" s="335" t="e">
        <f>'t13'!#REF!</f>
        <v>#REF!</v>
      </c>
      <c r="E7" s="337" t="e">
        <f aca="true" t="shared" si="0" ref="E7:E14">IF($C7=0," ",IF(D7=0," ",D7/$C7))</f>
        <v>#REF!</v>
      </c>
      <c r="F7" s="316" t="e">
        <f aca="true" t="shared" si="1" ref="F7:F14">IF($C7=0," ",IF(D7=0," ",IF(E7&gt;0.2,"ERRORE","OK")))</f>
        <v>#REF!</v>
      </c>
      <c r="G7" s="335" t="e">
        <f>'t13'!#REF!</f>
        <v>#REF!</v>
      </c>
      <c r="H7" s="337" t="e">
        <f aca="true" t="shared" si="2" ref="H7:H14">IF($C7=0," ",IF(G7=0," ",G7/$C7))</f>
        <v>#REF!</v>
      </c>
      <c r="I7" s="316" t="e">
        <f aca="true" t="shared" si="3" ref="I7:I14">IF($C7=0," ",IF(G7=0," ",IF(H7&gt;0.2,"ERRORE","OK")))</f>
        <v>#REF!</v>
      </c>
      <c r="J7" s="355" t="e">
        <f aca="true" t="shared" si="4" ref="J7:J14">IF(OR(F7="ERRORE",I7="ERRORE"),"ERRORE","OK")</f>
        <v>#REF!</v>
      </c>
    </row>
    <row r="8" spans="1:10" ht="12.75">
      <c r="A8" s="131" t="str">
        <f>'t1'!A8</f>
        <v>MAGISTRATI CON FUNZIONI DIRETTIVE SUPERIORI DI LEGITTIMITÀ</v>
      </c>
      <c r="B8" s="311" t="str">
        <f>'t1'!B8</f>
        <v>0D0MT3</v>
      </c>
      <c r="C8" s="335" t="e">
        <f>'t13'!#REF!</f>
        <v>#REF!</v>
      </c>
      <c r="D8" s="335" t="e">
        <f>'t13'!#REF!</f>
        <v>#REF!</v>
      </c>
      <c r="E8" s="337" t="e">
        <f t="shared" si="0"/>
        <v>#REF!</v>
      </c>
      <c r="F8" s="316" t="e">
        <f t="shared" si="1"/>
        <v>#REF!</v>
      </c>
      <c r="G8" s="335" t="e">
        <f>'t13'!#REF!</f>
        <v>#REF!</v>
      </c>
      <c r="H8" s="337" t="e">
        <f t="shared" si="2"/>
        <v>#REF!</v>
      </c>
      <c r="I8" s="316" t="e">
        <f t="shared" si="3"/>
        <v>#REF!</v>
      </c>
      <c r="J8" s="355" t="e">
        <f t="shared" si="4"/>
        <v>#REF!</v>
      </c>
    </row>
    <row r="9" spans="1:10" ht="12.75">
      <c r="A9" s="131" t="str">
        <f>'t1'!A9</f>
        <v>MAGISTRATI ORDINARI VII VALUT. PROF.</v>
      </c>
      <c r="B9" s="311" t="str">
        <f>'t1'!B9</f>
        <v>0D0MT4</v>
      </c>
      <c r="C9" s="335" t="e">
        <f>'t13'!#REF!</f>
        <v>#REF!</v>
      </c>
      <c r="D9" s="335" t="e">
        <f>'t13'!#REF!</f>
        <v>#REF!</v>
      </c>
      <c r="E9" s="337" t="e">
        <f t="shared" si="0"/>
        <v>#REF!</v>
      </c>
      <c r="F9" s="316" t="e">
        <f t="shared" si="1"/>
        <v>#REF!</v>
      </c>
      <c r="G9" s="335" t="e">
        <f>'t13'!#REF!</f>
        <v>#REF!</v>
      </c>
      <c r="H9" s="337" t="e">
        <f t="shared" si="2"/>
        <v>#REF!</v>
      </c>
      <c r="I9" s="316" t="e">
        <f t="shared" si="3"/>
        <v>#REF!</v>
      </c>
      <c r="J9" s="355" t="e">
        <f t="shared" si="4"/>
        <v>#REF!</v>
      </c>
    </row>
    <row r="10" spans="1:10" ht="12.75">
      <c r="A10" s="131" t="str">
        <f>'t1'!A10</f>
        <v>MAGISTRATI ORDINARI V VALUT. PROF.</v>
      </c>
      <c r="B10" s="311" t="str">
        <f>'t1'!B10</f>
        <v>0D0MT5</v>
      </c>
      <c r="C10" s="335" t="e">
        <f>'t13'!#REF!</f>
        <v>#REF!</v>
      </c>
      <c r="D10" s="335" t="e">
        <f>'t13'!#REF!</f>
        <v>#REF!</v>
      </c>
      <c r="E10" s="337" t="e">
        <f t="shared" si="0"/>
        <v>#REF!</v>
      </c>
      <c r="F10" s="316" t="e">
        <f t="shared" si="1"/>
        <v>#REF!</v>
      </c>
      <c r="G10" s="335" t="e">
        <f>'t13'!#REF!</f>
        <v>#REF!</v>
      </c>
      <c r="H10" s="337" t="e">
        <f t="shared" si="2"/>
        <v>#REF!</v>
      </c>
      <c r="I10" s="316" t="e">
        <f t="shared" si="3"/>
        <v>#REF!</v>
      </c>
      <c r="J10" s="355" t="e">
        <f t="shared" si="4"/>
        <v>#REF!</v>
      </c>
    </row>
    <row r="11" spans="1:10" ht="12.75">
      <c r="A11" s="131" t="str">
        <f>'t1'!A11</f>
        <v>MAGISTRATI ORDINARI DOPO 1 ANNO DALLA III VALUT. PROF.</v>
      </c>
      <c r="B11" s="311" t="str">
        <f>'t1'!B11</f>
        <v>0D0MT6</v>
      </c>
      <c r="C11" s="335" t="e">
        <f>'t13'!#REF!</f>
        <v>#REF!</v>
      </c>
      <c r="D11" s="335" t="e">
        <f>'t13'!#REF!</f>
        <v>#REF!</v>
      </c>
      <c r="E11" s="337" t="e">
        <f t="shared" si="0"/>
        <v>#REF!</v>
      </c>
      <c r="F11" s="316" t="e">
        <f t="shared" si="1"/>
        <v>#REF!</v>
      </c>
      <c r="G11" s="335" t="e">
        <f>'t13'!#REF!</f>
        <v>#REF!</v>
      </c>
      <c r="H11" s="337" t="e">
        <f t="shared" si="2"/>
        <v>#REF!</v>
      </c>
      <c r="I11" s="316" t="e">
        <f t="shared" si="3"/>
        <v>#REF!</v>
      </c>
      <c r="J11" s="355" t="e">
        <f t="shared" si="4"/>
        <v>#REF!</v>
      </c>
    </row>
    <row r="12" spans="1:10" ht="12.75">
      <c r="A12" s="131" t="str">
        <f>'t1'!A12</f>
        <v>MAGISTRATI ORDINARI  I  VALUT. PROF.</v>
      </c>
      <c r="B12" s="311" t="str">
        <f>'t1'!B12</f>
        <v>0D0MT7</v>
      </c>
      <c r="C12" s="335" t="e">
        <f>'t13'!#REF!</f>
        <v>#REF!</v>
      </c>
      <c r="D12" s="335" t="e">
        <f>'t13'!#REF!</f>
        <v>#REF!</v>
      </c>
      <c r="E12" s="337" t="e">
        <f t="shared" si="0"/>
        <v>#REF!</v>
      </c>
      <c r="F12" s="316" t="e">
        <f t="shared" si="1"/>
        <v>#REF!</v>
      </c>
      <c r="G12" s="335" t="e">
        <f>'t13'!#REF!</f>
        <v>#REF!</v>
      </c>
      <c r="H12" s="337" t="e">
        <f t="shared" si="2"/>
        <v>#REF!</v>
      </c>
      <c r="I12" s="316" t="e">
        <f t="shared" si="3"/>
        <v>#REF!</v>
      </c>
      <c r="J12" s="355" t="e">
        <f t="shared" si="4"/>
        <v>#REF!</v>
      </c>
    </row>
    <row r="13" spans="1:10" ht="12.75">
      <c r="A13" s="131" t="str">
        <f>'t1'!A13</f>
        <v>MAGISTRATI ORDINARI</v>
      </c>
      <c r="B13" s="311" t="str">
        <f>'t1'!B13</f>
        <v>0D0MT8</v>
      </c>
      <c r="C13" s="335" t="e">
        <f>'t13'!#REF!</f>
        <v>#REF!</v>
      </c>
      <c r="D13" s="335" t="e">
        <f>'t13'!#REF!</f>
        <v>#REF!</v>
      </c>
      <c r="E13" s="337" t="e">
        <f t="shared" si="0"/>
        <v>#REF!</v>
      </c>
      <c r="F13" s="316" t="e">
        <f t="shared" si="1"/>
        <v>#REF!</v>
      </c>
      <c r="G13" s="335" t="e">
        <f>'t13'!#REF!</f>
        <v>#REF!</v>
      </c>
      <c r="H13" s="337" t="e">
        <f t="shared" si="2"/>
        <v>#REF!</v>
      </c>
      <c r="I13" s="316" t="e">
        <f t="shared" si="3"/>
        <v>#REF!</v>
      </c>
      <c r="J13" s="355" t="e">
        <f t="shared" si="4"/>
        <v>#REF!</v>
      </c>
    </row>
    <row r="14" spans="1:10" ht="12.75">
      <c r="A14" s="131" t="str">
        <f>'t1'!A14</f>
        <v>MAGISTRATI ORDINARI IN TIROCINIO</v>
      </c>
      <c r="B14" s="311" t="str">
        <f>'t1'!B14</f>
        <v>0D0MT9</v>
      </c>
      <c r="C14" s="335" t="e">
        <f>'t13'!#REF!</f>
        <v>#REF!</v>
      </c>
      <c r="D14" s="335" t="e">
        <f>'t13'!#REF!</f>
        <v>#REF!</v>
      </c>
      <c r="E14" s="337" t="e">
        <f t="shared" si="0"/>
        <v>#REF!</v>
      </c>
      <c r="F14" s="316" t="e">
        <f t="shared" si="1"/>
        <v>#REF!</v>
      </c>
      <c r="G14" s="335" t="e">
        <f>'t13'!#REF!</f>
        <v>#REF!</v>
      </c>
      <c r="H14" s="337" t="e">
        <f t="shared" si="2"/>
        <v>#REF!</v>
      </c>
      <c r="I14" s="316" t="e">
        <f t="shared" si="3"/>
        <v>#REF!</v>
      </c>
      <c r="J14" s="355" t="e">
        <f t="shared" si="4"/>
        <v>#REF!</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44">
    <pageSetUpPr fitToPage="1"/>
  </sheetPr>
  <dimension ref="A1:K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03" t="str">
        <f>'t1'!A1</f>
        <v>MAGISTRATURA ORDINARIA - anno 2019</v>
      </c>
      <c r="B1" s="903"/>
      <c r="C1" s="903"/>
      <c r="D1" s="903"/>
      <c r="E1" s="903"/>
      <c r="F1" s="903"/>
      <c r="G1" s="903"/>
      <c r="H1" s="903"/>
      <c r="I1" s="903"/>
      <c r="K1"/>
    </row>
    <row r="2" spans="4:11" s="5" customFormat="1" ht="12.75" customHeight="1">
      <c r="D2" s="976"/>
      <c r="E2" s="976"/>
      <c r="F2" s="976"/>
      <c r="G2" s="976"/>
      <c r="H2" s="543"/>
      <c r="I2" s="3"/>
      <c r="K2"/>
    </row>
    <row r="3" spans="1:9" s="5" customFormat="1" ht="43.5" customHeight="1">
      <c r="A3" s="1027" t="s">
        <v>505</v>
      </c>
      <c r="B3" s="1027"/>
      <c r="C3" s="1027"/>
      <c r="D3" s="1027"/>
      <c r="E3" s="1027"/>
      <c r="F3" s="1027"/>
      <c r="G3" s="1027"/>
      <c r="H3" s="1027"/>
      <c r="I3" s="1027"/>
    </row>
    <row r="4" spans="1:9" ht="67.5">
      <c r="A4" s="544" t="s">
        <v>210</v>
      </c>
      <c r="B4" s="545" t="s">
        <v>172</v>
      </c>
      <c r="C4" s="547" t="s">
        <v>37</v>
      </c>
      <c r="D4" s="547" t="s">
        <v>506</v>
      </c>
      <c r="E4" s="547" t="s">
        <v>507</v>
      </c>
      <c r="F4" s="547" t="s">
        <v>39</v>
      </c>
      <c r="G4" s="547" t="s">
        <v>508</v>
      </c>
      <c r="H4" s="547" t="s">
        <v>388</v>
      </c>
      <c r="I4" s="547" t="s">
        <v>373</v>
      </c>
    </row>
    <row r="5" spans="1:9" s="194" customFormat="1" ht="45" hidden="1">
      <c r="A5" s="175"/>
      <c r="B5" s="188"/>
      <c r="C5" s="188" t="s">
        <v>174</v>
      </c>
      <c r="D5" s="192"/>
      <c r="E5" s="192"/>
      <c r="F5" s="192" t="s">
        <v>176</v>
      </c>
      <c r="G5" s="192"/>
      <c r="H5" s="590" t="s">
        <v>392</v>
      </c>
      <c r="I5" s="592"/>
    </row>
    <row r="6" spans="1:9" s="108" customFormat="1" ht="12.75">
      <c r="A6" s="131" t="str">
        <f>'t1'!A6</f>
        <v>MAGIST.  CON FUNZ. DIRETT. APICALI GIUDICANTI DI LEGITTIMITÀ</v>
      </c>
      <c r="B6" s="311" t="str">
        <f>'t1'!B6</f>
        <v>0D0MT1</v>
      </c>
      <c r="C6" s="815">
        <f>'t11'!U8+'t11'!V8</f>
        <v>0</v>
      </c>
      <c r="D6" s="815">
        <f>(C6-'t11'!Q8-'t11'!R8-'t11'!S8-'t11'!T8)</f>
        <v>0</v>
      </c>
      <c r="E6" s="815">
        <f>'t12'!C6/12</f>
        <v>0</v>
      </c>
      <c r="F6" s="815">
        <f>'t3'!M6+'t3'!N6+'t3'!O6+'t3'!P6+'t3'!Q6+'t3'!R6</f>
        <v>0</v>
      </c>
      <c r="G6" s="355" t="str">
        <f aca="true" t="shared" si="0" ref="G6:G14">IF(H6="OK","OK","ERRORE")</f>
        <v>OK</v>
      </c>
      <c r="H6" s="355" t="str">
        <f aca="true" t="shared" si="1" ref="H6:H14">IF(((E6+F6)*273)&lt;(D6),"KO","OK")</f>
        <v>OK</v>
      </c>
      <c r="I6" s="593">
        <f>IF(H6="KO",($H$5&amp;(('t12'!C6/12*273)+(('t3'!M6+'t3'!N6+'t3'!O6+'t3'!P6+'t3'!Q6+'t3'!R6)*273))&amp;")"),"")</f>
      </c>
    </row>
    <row r="7" spans="1:9" ht="12.75">
      <c r="A7" s="131" t="str">
        <f>'t1'!A7</f>
        <v>MAGIST. CON FUNZ. DIRETT. APICALI REQUIRENTI DI LEGITTIMITÀ</v>
      </c>
      <c r="B7" s="311" t="str">
        <f>'t1'!B7</f>
        <v>0D0MT2</v>
      </c>
      <c r="C7" s="815">
        <f>'t11'!U9+'t11'!V9</f>
        <v>0</v>
      </c>
      <c r="D7" s="815">
        <f>(C7-'t11'!Q9-'t11'!R9-'t11'!S9-'t11'!T9)</f>
        <v>0</v>
      </c>
      <c r="E7" s="815">
        <f>'t12'!C7/12</f>
        <v>0</v>
      </c>
      <c r="F7" s="815">
        <f>'t3'!M7+'t3'!N7+'t3'!O7+'t3'!P7+'t3'!Q7+'t3'!R7</f>
        <v>0</v>
      </c>
      <c r="G7" s="355" t="str">
        <f t="shared" si="0"/>
        <v>OK</v>
      </c>
      <c r="H7" s="355" t="str">
        <f t="shared" si="1"/>
        <v>OK</v>
      </c>
      <c r="I7" s="593">
        <f>IF(H7="KO",($H$5&amp;(('t12'!C7/12*273)+(('t3'!M7+'t3'!N7+'t3'!O7+'t3'!P7+'t3'!Q7+'t3'!R7)*273))&amp;")"),"")</f>
      </c>
    </row>
    <row r="8" spans="1:9" ht="12.75">
      <c r="A8" s="131" t="str">
        <f>'t1'!A8</f>
        <v>MAGISTRATI CON FUNZIONI DIRETTIVE SUPERIORI DI LEGITTIMITÀ</v>
      </c>
      <c r="B8" s="311" t="str">
        <f>'t1'!B8</f>
        <v>0D0MT3</v>
      </c>
      <c r="C8" s="815">
        <f>'t11'!U10+'t11'!V10</f>
        <v>0</v>
      </c>
      <c r="D8" s="815">
        <f>(C8-'t11'!Q10-'t11'!R10-'t11'!S10-'t11'!T10)</f>
        <v>0</v>
      </c>
      <c r="E8" s="815">
        <f>'t12'!C8/12</f>
        <v>0</v>
      </c>
      <c r="F8" s="815">
        <f>'t3'!M8+'t3'!N8+'t3'!O8+'t3'!P8+'t3'!Q8+'t3'!R8</f>
        <v>0</v>
      </c>
      <c r="G8" s="355" t="str">
        <f t="shared" si="0"/>
        <v>OK</v>
      </c>
      <c r="H8" s="355" t="str">
        <f t="shared" si="1"/>
        <v>OK</v>
      </c>
      <c r="I8" s="593">
        <f>IF(H8="KO",($H$5&amp;(('t12'!C8/12*273)+(('t3'!M8+'t3'!N8+'t3'!O8+'t3'!P8+'t3'!Q8+'t3'!R8)*273))&amp;")"),"")</f>
      </c>
    </row>
    <row r="9" spans="1:9" ht="12.75">
      <c r="A9" s="131" t="str">
        <f>'t1'!A9</f>
        <v>MAGISTRATI ORDINARI VII VALUT. PROF.</v>
      </c>
      <c r="B9" s="311" t="str">
        <f>'t1'!B9</f>
        <v>0D0MT4</v>
      </c>
      <c r="C9" s="815">
        <f>'t11'!U11+'t11'!V11</f>
        <v>0</v>
      </c>
      <c r="D9" s="815">
        <f>(C9-'t11'!Q11-'t11'!R11-'t11'!S11-'t11'!T11)</f>
        <v>0</v>
      </c>
      <c r="E9" s="815">
        <f>'t12'!C9/12</f>
        <v>0</v>
      </c>
      <c r="F9" s="815">
        <f>'t3'!M9+'t3'!N9+'t3'!O9+'t3'!P9+'t3'!Q9+'t3'!R9</f>
        <v>0</v>
      </c>
      <c r="G9" s="355" t="str">
        <f t="shared" si="0"/>
        <v>OK</v>
      </c>
      <c r="H9" s="355" t="str">
        <f t="shared" si="1"/>
        <v>OK</v>
      </c>
      <c r="I9" s="593">
        <f>IF(H9="KO",($H$5&amp;(('t12'!C9/12*273)+(('t3'!M9+'t3'!N9+'t3'!O9+'t3'!P9+'t3'!Q9+'t3'!R9)*273))&amp;")"),"")</f>
      </c>
    </row>
    <row r="10" spans="1:9" ht="12.75">
      <c r="A10" s="131" t="str">
        <f>'t1'!A10</f>
        <v>MAGISTRATI ORDINARI V VALUT. PROF.</v>
      </c>
      <c r="B10" s="311" t="str">
        <f>'t1'!B10</f>
        <v>0D0MT5</v>
      </c>
      <c r="C10" s="815">
        <f>'t11'!U12+'t11'!V12</f>
        <v>0</v>
      </c>
      <c r="D10" s="815">
        <f>(C10-'t11'!Q12-'t11'!R12-'t11'!S12-'t11'!T12)</f>
        <v>0</v>
      </c>
      <c r="E10" s="815">
        <f>'t12'!C10/12</f>
        <v>0</v>
      </c>
      <c r="F10" s="815">
        <f>'t3'!M10+'t3'!N10+'t3'!O10+'t3'!P10+'t3'!Q10+'t3'!R10</f>
        <v>0</v>
      </c>
      <c r="G10" s="355" t="str">
        <f t="shared" si="0"/>
        <v>OK</v>
      </c>
      <c r="H10" s="355" t="str">
        <f t="shared" si="1"/>
        <v>OK</v>
      </c>
      <c r="I10" s="593">
        <f>IF(H10="KO",($H$5&amp;(('t12'!C10/12*273)+(('t3'!M10+'t3'!N10+'t3'!O10+'t3'!P10+'t3'!Q10+'t3'!R10)*273))&amp;")"),"")</f>
      </c>
    </row>
    <row r="11" spans="1:9" ht="12.75">
      <c r="A11" s="131" t="str">
        <f>'t1'!A11</f>
        <v>MAGISTRATI ORDINARI DOPO 1 ANNO DALLA III VALUT. PROF.</v>
      </c>
      <c r="B11" s="311" t="str">
        <f>'t1'!B11</f>
        <v>0D0MT6</v>
      </c>
      <c r="C11" s="815">
        <f>'t11'!U13+'t11'!V13</f>
        <v>0</v>
      </c>
      <c r="D11" s="815">
        <f>(C11-'t11'!Q13-'t11'!R13-'t11'!S13-'t11'!T13)</f>
        <v>0</v>
      </c>
      <c r="E11" s="815">
        <f>'t12'!C11/12</f>
        <v>0</v>
      </c>
      <c r="F11" s="815">
        <f>'t3'!M11+'t3'!N11+'t3'!O11+'t3'!P11+'t3'!Q11+'t3'!R11</f>
        <v>0</v>
      </c>
      <c r="G11" s="355" t="str">
        <f t="shared" si="0"/>
        <v>OK</v>
      </c>
      <c r="H11" s="355" t="str">
        <f t="shared" si="1"/>
        <v>OK</v>
      </c>
      <c r="I11" s="593">
        <f>IF(H11="KO",($H$5&amp;(('t12'!C11/12*273)+(('t3'!M11+'t3'!N11+'t3'!O11+'t3'!P11+'t3'!Q11+'t3'!R11)*273))&amp;")"),"")</f>
      </c>
    </row>
    <row r="12" spans="1:9" ht="12.75">
      <c r="A12" s="131" t="str">
        <f>'t1'!A12</f>
        <v>MAGISTRATI ORDINARI  I  VALUT. PROF.</v>
      </c>
      <c r="B12" s="311" t="str">
        <f>'t1'!B12</f>
        <v>0D0MT7</v>
      </c>
      <c r="C12" s="815">
        <f>'t11'!U14+'t11'!V14</f>
        <v>0</v>
      </c>
      <c r="D12" s="815">
        <f>(C12-'t11'!Q14-'t11'!R14-'t11'!S14-'t11'!T14)</f>
        <v>0</v>
      </c>
      <c r="E12" s="815">
        <f>'t12'!C12/12</f>
        <v>0</v>
      </c>
      <c r="F12" s="815">
        <f>'t3'!M12+'t3'!N12+'t3'!O12+'t3'!P12+'t3'!Q12+'t3'!R12</f>
        <v>0</v>
      </c>
      <c r="G12" s="355" t="str">
        <f t="shared" si="0"/>
        <v>OK</v>
      </c>
      <c r="H12" s="355" t="str">
        <f t="shared" si="1"/>
        <v>OK</v>
      </c>
      <c r="I12" s="593">
        <f>IF(H12="KO",($H$5&amp;(('t12'!C12/12*273)+(('t3'!M12+'t3'!N12+'t3'!O12+'t3'!P12+'t3'!Q12+'t3'!R12)*273))&amp;")"),"")</f>
      </c>
    </row>
    <row r="13" spans="1:9" ht="12.75">
      <c r="A13" s="131" t="str">
        <f>'t1'!A13</f>
        <v>MAGISTRATI ORDINARI</v>
      </c>
      <c r="B13" s="311" t="str">
        <f>'t1'!B13</f>
        <v>0D0MT8</v>
      </c>
      <c r="C13" s="815">
        <f>'t11'!U15+'t11'!V15</f>
        <v>0</v>
      </c>
      <c r="D13" s="815">
        <f>(C13-'t11'!Q15-'t11'!R15-'t11'!S15-'t11'!T15)</f>
        <v>0</v>
      </c>
      <c r="E13" s="815">
        <f>'t12'!C13/12</f>
        <v>0</v>
      </c>
      <c r="F13" s="815">
        <f>'t3'!M13+'t3'!N13+'t3'!O13+'t3'!P13+'t3'!Q13+'t3'!R13</f>
        <v>0</v>
      </c>
      <c r="G13" s="355" t="str">
        <f t="shared" si="0"/>
        <v>OK</v>
      </c>
      <c r="H13" s="355" t="str">
        <f t="shared" si="1"/>
        <v>OK</v>
      </c>
      <c r="I13" s="593">
        <f>IF(H13="KO",($H$5&amp;(('t12'!C13/12*273)+(('t3'!M13+'t3'!N13+'t3'!O13+'t3'!P13+'t3'!Q13+'t3'!R13)*273))&amp;")"),"")</f>
      </c>
    </row>
    <row r="14" spans="1:9" ht="12.75">
      <c r="A14" s="131" t="str">
        <f>'t1'!A14</f>
        <v>MAGISTRATI ORDINARI IN TIROCINIO</v>
      </c>
      <c r="B14" s="311" t="str">
        <f>'t1'!B14</f>
        <v>0D0MT9</v>
      </c>
      <c r="C14" s="815">
        <f>'t11'!U16+'t11'!V16</f>
        <v>0</v>
      </c>
      <c r="D14" s="815">
        <f>(C14-'t11'!Q16-'t11'!R16-'t11'!S16-'t11'!T16)</f>
        <v>0</v>
      </c>
      <c r="E14" s="815">
        <f>'t12'!C14/12</f>
        <v>0</v>
      </c>
      <c r="F14" s="815">
        <f>'t3'!M14+'t3'!N14+'t3'!O14+'t3'!P14+'t3'!Q14+'t3'!R14</f>
        <v>0</v>
      </c>
      <c r="G14" s="355" t="str">
        <f t="shared" si="0"/>
        <v>OK</v>
      </c>
      <c r="H14" s="355" t="str">
        <f t="shared" si="1"/>
        <v>OK</v>
      </c>
      <c r="I14" s="593">
        <f>IF(H14="KO",($H$5&amp;(('t12'!C14/12*273)+(('t3'!M14+'t3'!N14+'t3'!O14+'t3'!P14+'t3'!Q14+'t3'!R14)*273))&amp;")"),"")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codeName="Foglio10"/>
  <dimension ref="A1:X20"/>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60.66015625" style="86" customWidth="1"/>
    <col min="2" max="2" width="10.66015625" style="96" customWidth="1"/>
    <col min="3" max="16" width="11.5" style="86" customWidth="1"/>
    <col min="17" max="18" width="11.5" style="0" customWidth="1"/>
    <col min="19" max="20" width="9.16015625" style="86" customWidth="1"/>
    <col min="21" max="21" width="6.66015625" style="86" customWidth="1"/>
    <col min="22" max="25" width="10.83203125" style="86" customWidth="1"/>
    <col min="26" max="16384" width="10.66015625" style="86" customWidth="1"/>
  </cols>
  <sheetData>
    <row r="1" spans="1:19" s="5" customFormat="1" ht="43.5" customHeight="1">
      <c r="A1" s="903" t="str">
        <f>'t1'!A1</f>
        <v>MAGISTRATURA ORDINARIA - anno 2019</v>
      </c>
      <c r="B1" s="903"/>
      <c r="C1" s="903"/>
      <c r="D1" s="903"/>
      <c r="E1" s="903"/>
      <c r="F1" s="903"/>
      <c r="G1" s="903"/>
      <c r="H1" s="903"/>
      <c r="I1" s="903"/>
      <c r="J1" s="903"/>
      <c r="K1" s="903"/>
      <c r="L1" s="903"/>
      <c r="M1" s="903"/>
      <c r="N1" s="903"/>
      <c r="O1" s="3"/>
      <c r="P1" s="305"/>
      <c r="Q1"/>
      <c r="R1"/>
      <c r="S1"/>
    </row>
    <row r="2" spans="1:19" s="5" customFormat="1" ht="30" customHeight="1" thickBot="1">
      <c r="A2" s="304"/>
      <c r="B2" s="2"/>
      <c r="C2" s="3"/>
      <c r="D2" s="3"/>
      <c r="E2" s="3"/>
      <c r="F2" s="904"/>
      <c r="G2" s="904"/>
      <c r="H2" s="904"/>
      <c r="I2" s="904"/>
      <c r="J2" s="904"/>
      <c r="K2" s="904"/>
      <c r="L2" s="904"/>
      <c r="M2" s="904"/>
      <c r="N2" s="904"/>
      <c r="O2" s="904"/>
      <c r="P2" s="904"/>
      <c r="Q2"/>
      <c r="R2"/>
      <c r="S2"/>
    </row>
    <row r="3" spans="1:20" ht="18.75" customHeight="1" thickBot="1">
      <c r="A3" s="87"/>
      <c r="B3" s="88"/>
      <c r="C3" s="134" t="s">
        <v>119</v>
      </c>
      <c r="D3" s="135"/>
      <c r="E3" s="135"/>
      <c r="F3" s="136"/>
      <c r="G3" s="135"/>
      <c r="H3" s="135"/>
      <c r="I3" s="135"/>
      <c r="J3" s="135"/>
      <c r="K3" s="135"/>
      <c r="L3" s="135"/>
      <c r="M3" s="908" t="s">
        <v>120</v>
      </c>
      <c r="N3" s="909"/>
      <c r="O3" s="909"/>
      <c r="P3" s="909"/>
      <c r="Q3" s="909"/>
      <c r="R3" s="910"/>
      <c r="S3"/>
      <c r="T3"/>
    </row>
    <row r="4" spans="1:20" ht="21.75" customHeight="1" thickTop="1">
      <c r="A4" s="275" t="s">
        <v>117</v>
      </c>
      <c r="B4" s="276" t="s">
        <v>56</v>
      </c>
      <c r="C4" s="137" t="s">
        <v>164</v>
      </c>
      <c r="D4" s="138"/>
      <c r="E4" s="905" t="s">
        <v>85</v>
      </c>
      <c r="F4" s="906"/>
      <c r="G4" s="907" t="s">
        <v>48</v>
      </c>
      <c r="H4" s="907"/>
      <c r="I4" s="907" t="s">
        <v>514</v>
      </c>
      <c r="J4" s="907"/>
      <c r="K4" s="911" t="s">
        <v>515</v>
      </c>
      <c r="L4" s="912"/>
      <c r="M4" s="137" t="s">
        <v>164</v>
      </c>
      <c r="N4" s="139"/>
      <c r="O4" s="140" t="s">
        <v>85</v>
      </c>
      <c r="P4" s="139"/>
      <c r="Q4" s="140" t="s">
        <v>48</v>
      </c>
      <c r="R4" s="139"/>
      <c r="S4"/>
      <c r="T4"/>
    </row>
    <row r="5" spans="1:20" ht="12" thickBot="1">
      <c r="A5" s="754" t="s">
        <v>483</v>
      </c>
      <c r="B5" s="277"/>
      <c r="C5" s="141" t="s">
        <v>57</v>
      </c>
      <c r="D5" s="142" t="s">
        <v>58</v>
      </c>
      <c r="E5" s="143" t="s">
        <v>57</v>
      </c>
      <c r="F5" s="142" t="s">
        <v>58</v>
      </c>
      <c r="G5" s="143" t="s">
        <v>57</v>
      </c>
      <c r="H5" s="142" t="s">
        <v>58</v>
      </c>
      <c r="I5" s="143" t="s">
        <v>57</v>
      </c>
      <c r="J5" s="142" t="s">
        <v>58</v>
      </c>
      <c r="K5" s="143" t="s">
        <v>57</v>
      </c>
      <c r="L5" s="142" t="s">
        <v>58</v>
      </c>
      <c r="M5" s="144" t="s">
        <v>57</v>
      </c>
      <c r="N5" s="145" t="s">
        <v>58</v>
      </c>
      <c r="O5" s="146" t="s">
        <v>57</v>
      </c>
      <c r="P5" s="145" t="s">
        <v>58</v>
      </c>
      <c r="Q5" s="146" t="s">
        <v>57</v>
      </c>
      <c r="R5" s="145" t="s">
        <v>58</v>
      </c>
      <c r="S5"/>
      <c r="T5"/>
    </row>
    <row r="6" spans="1:20" ht="12.75" customHeight="1" thickTop="1">
      <c r="A6" s="20" t="str">
        <f>'t1'!A6</f>
        <v>MAGIST.  CON FUNZ. DIRETT. APICALI GIUDICANTI DI LEGITTIMITÀ</v>
      </c>
      <c r="B6" s="278" t="str">
        <f>'t1'!B6</f>
        <v>0D0MT1</v>
      </c>
      <c r="C6" s="220"/>
      <c r="D6" s="221"/>
      <c r="E6" s="222"/>
      <c r="F6" s="501"/>
      <c r="G6" s="503"/>
      <c r="H6" s="221"/>
      <c r="I6" s="503"/>
      <c r="J6" s="221"/>
      <c r="K6" s="503"/>
      <c r="L6" s="221"/>
      <c r="M6" s="223"/>
      <c r="N6" s="224"/>
      <c r="O6" s="225"/>
      <c r="P6" s="538"/>
      <c r="Q6" s="539"/>
      <c r="R6" s="532"/>
      <c r="S6"/>
      <c r="T6"/>
    </row>
    <row r="7" spans="1:20" ht="12.75" customHeight="1">
      <c r="A7" s="19" t="str">
        <f>'t1'!A7</f>
        <v>MAGIST. CON FUNZ. DIRETT. APICALI REQUIRENTI DI LEGITTIMITÀ</v>
      </c>
      <c r="B7" s="279" t="str">
        <f>'t1'!B7</f>
        <v>0D0MT2</v>
      </c>
      <c r="C7" s="220"/>
      <c r="D7" s="221"/>
      <c r="E7" s="222"/>
      <c r="F7" s="501"/>
      <c r="G7" s="229"/>
      <c r="H7" s="221"/>
      <c r="I7" s="229"/>
      <c r="J7" s="221"/>
      <c r="K7" s="229"/>
      <c r="L7" s="221"/>
      <c r="M7" s="223"/>
      <c r="N7" s="224"/>
      <c r="O7" s="225"/>
      <c r="P7" s="540"/>
      <c r="Q7" s="541"/>
      <c r="R7" s="533"/>
      <c r="S7"/>
      <c r="T7"/>
    </row>
    <row r="8" spans="1:20" ht="12.75" customHeight="1">
      <c r="A8" s="19" t="str">
        <f>'t1'!A8</f>
        <v>MAGISTRATI CON FUNZIONI DIRETTIVE SUPERIORI DI LEGITTIMITÀ</v>
      </c>
      <c r="B8" s="279" t="str">
        <f>'t1'!B8</f>
        <v>0D0MT3</v>
      </c>
      <c r="C8" s="220"/>
      <c r="D8" s="221"/>
      <c r="E8" s="222"/>
      <c r="F8" s="501"/>
      <c r="G8" s="229"/>
      <c r="H8" s="221"/>
      <c r="I8" s="229"/>
      <c r="J8" s="221"/>
      <c r="K8" s="229"/>
      <c r="L8" s="221"/>
      <c r="M8" s="223"/>
      <c r="N8" s="224"/>
      <c r="O8" s="225"/>
      <c r="P8" s="540"/>
      <c r="Q8" s="541"/>
      <c r="R8" s="533"/>
      <c r="S8"/>
      <c r="T8"/>
    </row>
    <row r="9" spans="1:20" ht="12.75" customHeight="1">
      <c r="A9" s="19" t="str">
        <f>'t1'!A9</f>
        <v>MAGISTRATI ORDINARI VII VALUT. PROF.</v>
      </c>
      <c r="B9" s="279" t="str">
        <f>'t1'!B9</f>
        <v>0D0MT4</v>
      </c>
      <c r="C9" s="220"/>
      <c r="D9" s="221"/>
      <c r="E9" s="222"/>
      <c r="F9" s="501"/>
      <c r="G9" s="229"/>
      <c r="H9" s="221"/>
      <c r="I9" s="229"/>
      <c r="J9" s="221"/>
      <c r="K9" s="229"/>
      <c r="L9" s="221"/>
      <c r="M9" s="223"/>
      <c r="N9" s="224"/>
      <c r="O9" s="225"/>
      <c r="P9" s="540"/>
      <c r="Q9" s="541"/>
      <c r="R9" s="533"/>
      <c r="S9"/>
      <c r="T9"/>
    </row>
    <row r="10" spans="1:20" ht="12.75" customHeight="1">
      <c r="A10" s="19" t="str">
        <f>'t1'!A10</f>
        <v>MAGISTRATI ORDINARI V VALUT. PROF.</v>
      </c>
      <c r="B10" s="279" t="str">
        <f>'t1'!B10</f>
        <v>0D0MT5</v>
      </c>
      <c r="C10" s="220"/>
      <c r="D10" s="221"/>
      <c r="E10" s="222"/>
      <c r="F10" s="501"/>
      <c r="G10" s="229"/>
      <c r="H10" s="221"/>
      <c r="I10" s="229"/>
      <c r="J10" s="221"/>
      <c r="K10" s="229"/>
      <c r="L10" s="221"/>
      <c r="M10" s="223"/>
      <c r="N10" s="224"/>
      <c r="O10" s="225"/>
      <c r="P10" s="540"/>
      <c r="Q10" s="541"/>
      <c r="R10" s="533"/>
      <c r="S10"/>
      <c r="T10"/>
    </row>
    <row r="11" spans="1:20" ht="12.75" customHeight="1">
      <c r="A11" s="19" t="str">
        <f>'t1'!A11</f>
        <v>MAGISTRATI ORDINARI DOPO 1 ANNO DALLA III VALUT. PROF.</v>
      </c>
      <c r="B11" s="279" t="str">
        <f>'t1'!B11</f>
        <v>0D0MT6</v>
      </c>
      <c r="C11" s="220"/>
      <c r="D11" s="221"/>
      <c r="E11" s="222"/>
      <c r="F11" s="501"/>
      <c r="G11" s="229"/>
      <c r="H11" s="221"/>
      <c r="I11" s="229"/>
      <c r="J11" s="221"/>
      <c r="K11" s="229"/>
      <c r="L11" s="221"/>
      <c r="M11" s="223"/>
      <c r="N11" s="224"/>
      <c r="O11" s="225"/>
      <c r="P11" s="540"/>
      <c r="Q11" s="541"/>
      <c r="R11" s="533"/>
      <c r="S11"/>
      <c r="T11"/>
    </row>
    <row r="12" spans="1:20" ht="12.75" customHeight="1">
      <c r="A12" s="19" t="str">
        <f>'t1'!A12</f>
        <v>MAGISTRATI ORDINARI  I  VALUT. PROF.</v>
      </c>
      <c r="B12" s="279" t="str">
        <f>'t1'!B12</f>
        <v>0D0MT7</v>
      </c>
      <c r="C12" s="220"/>
      <c r="D12" s="221"/>
      <c r="E12" s="222"/>
      <c r="F12" s="501"/>
      <c r="G12" s="229"/>
      <c r="H12" s="221"/>
      <c r="I12" s="229"/>
      <c r="J12" s="221"/>
      <c r="K12" s="229"/>
      <c r="L12" s="221"/>
      <c r="M12" s="223"/>
      <c r="N12" s="224"/>
      <c r="O12" s="225"/>
      <c r="P12" s="540"/>
      <c r="Q12" s="541"/>
      <c r="R12" s="533"/>
      <c r="S12"/>
      <c r="T12"/>
    </row>
    <row r="13" spans="1:20" ht="12.75" customHeight="1">
      <c r="A13" s="19" t="str">
        <f>'t1'!A13</f>
        <v>MAGISTRATI ORDINARI</v>
      </c>
      <c r="B13" s="279" t="str">
        <f>'t1'!B13</f>
        <v>0D0MT8</v>
      </c>
      <c r="C13" s="220"/>
      <c r="D13" s="221"/>
      <c r="E13" s="222"/>
      <c r="F13" s="501"/>
      <c r="G13" s="229"/>
      <c r="H13" s="221"/>
      <c r="I13" s="229"/>
      <c r="J13" s="221"/>
      <c r="K13" s="229"/>
      <c r="L13" s="221"/>
      <c r="M13" s="223"/>
      <c r="N13" s="224"/>
      <c r="O13" s="225"/>
      <c r="P13" s="540"/>
      <c r="Q13" s="541"/>
      <c r="R13" s="533"/>
      <c r="S13"/>
      <c r="T13"/>
    </row>
    <row r="14" spans="1:20" ht="12.75" customHeight="1" thickBot="1">
      <c r="A14" s="19" t="str">
        <f>'t1'!A14</f>
        <v>MAGISTRATI ORDINARI IN TIROCINIO</v>
      </c>
      <c r="B14" s="279" t="str">
        <f>'t1'!B14</f>
        <v>0D0MT9</v>
      </c>
      <c r="C14" s="220"/>
      <c r="D14" s="221"/>
      <c r="E14" s="222"/>
      <c r="F14" s="501"/>
      <c r="G14" s="229"/>
      <c r="H14" s="221"/>
      <c r="I14" s="229"/>
      <c r="J14" s="221"/>
      <c r="K14" s="229"/>
      <c r="L14" s="221"/>
      <c r="M14" s="223"/>
      <c r="N14" s="224"/>
      <c r="O14" s="225"/>
      <c r="P14" s="540"/>
      <c r="Q14" s="541"/>
      <c r="R14" s="533"/>
      <c r="S14"/>
      <c r="T14"/>
    </row>
    <row r="15" spans="1:20" ht="15.75" customHeight="1" thickBot="1" thickTop="1">
      <c r="A15" s="94" t="s">
        <v>59</v>
      </c>
      <c r="B15" s="161"/>
      <c r="C15" s="420">
        <f aca="true" t="shared" si="0" ref="C15:R15">SUM(C6:C14)</f>
        <v>0</v>
      </c>
      <c r="D15" s="421">
        <f t="shared" si="0"/>
        <v>0</v>
      </c>
      <c r="E15" s="422">
        <f t="shared" si="0"/>
        <v>0</v>
      </c>
      <c r="F15" s="502">
        <f t="shared" si="0"/>
        <v>0</v>
      </c>
      <c r="G15" s="422">
        <f t="shared" si="0"/>
        <v>0</v>
      </c>
      <c r="H15" s="500">
        <f t="shared" si="0"/>
        <v>0</v>
      </c>
      <c r="I15" s="422">
        <f t="shared" si="0"/>
        <v>0</v>
      </c>
      <c r="J15" s="500">
        <f t="shared" si="0"/>
        <v>0</v>
      </c>
      <c r="K15" s="422">
        <f t="shared" si="0"/>
        <v>0</v>
      </c>
      <c r="L15" s="500">
        <f t="shared" si="0"/>
        <v>0</v>
      </c>
      <c r="M15" s="420">
        <f t="shared" si="0"/>
        <v>0</v>
      </c>
      <c r="N15" s="421">
        <f t="shared" si="0"/>
        <v>0</v>
      </c>
      <c r="O15" s="422">
        <f t="shared" si="0"/>
        <v>0</v>
      </c>
      <c r="P15" s="421">
        <f t="shared" si="0"/>
        <v>0</v>
      </c>
      <c r="Q15" s="542">
        <f t="shared" si="0"/>
        <v>0</v>
      </c>
      <c r="R15" s="516">
        <f t="shared" si="0"/>
        <v>0</v>
      </c>
      <c r="S15"/>
      <c r="T15"/>
    </row>
    <row r="16" spans="1:16" ht="11.25">
      <c r="A16" s="21"/>
      <c r="B16" s="162"/>
      <c r="C16" s="5"/>
      <c r="D16" s="5"/>
      <c r="E16" s="5"/>
      <c r="F16" s="5"/>
      <c r="G16" s="5"/>
      <c r="H16" s="5"/>
      <c r="I16" s="5"/>
      <c r="J16" s="5"/>
      <c r="K16" s="5"/>
      <c r="L16" s="5"/>
      <c r="M16" s="5"/>
      <c r="N16" s="5"/>
      <c r="O16" s="5"/>
      <c r="P16" s="5"/>
    </row>
    <row r="17" spans="1:24" ht="11.25">
      <c r="A17" s="21"/>
      <c r="B17" s="162"/>
      <c r="C17" s="5"/>
      <c r="D17" s="164"/>
      <c r="E17" s="5"/>
      <c r="F17" s="5"/>
      <c r="G17" s="5"/>
      <c r="H17" s="5"/>
      <c r="I17" s="5"/>
      <c r="J17" s="5"/>
      <c r="K17" s="5"/>
      <c r="L17" s="5"/>
      <c r="M17" s="5"/>
      <c r="N17" s="5"/>
      <c r="O17" s="5"/>
      <c r="P17" s="5"/>
      <c r="S17" s="5"/>
      <c r="T17" s="5"/>
      <c r="U17" s="5"/>
      <c r="V17" s="5"/>
      <c r="W17" s="5"/>
      <c r="X17" s="5"/>
    </row>
    <row r="18" spans="1:2" s="5" customFormat="1" ht="11.25">
      <c r="A18" s="21"/>
      <c r="B18" s="7"/>
    </row>
    <row r="19" spans="1:2" ht="11.25">
      <c r="A19" s="21" t="s">
        <v>219</v>
      </c>
      <c r="B19" s="163"/>
    </row>
    <row r="20" ht="11.25">
      <c r="A20" s="76" t="s">
        <v>121</v>
      </c>
    </row>
  </sheetData>
  <sheetProtection password="EA98" sheet="1" formatColumns="0" selectLockedCells="1"/>
  <mergeCells count="7">
    <mergeCell ref="A1:N1"/>
    <mergeCell ref="F2:P2"/>
    <mergeCell ref="E4:F4"/>
    <mergeCell ref="G4:H4"/>
    <mergeCell ref="M3:R3"/>
    <mergeCell ref="I4:J4"/>
    <mergeCell ref="K4:L4"/>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11"/>
  <dimension ref="A1:N2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60.66015625" style="5" customWidth="1"/>
    <col min="2" max="2" width="9.16015625" style="7" customWidth="1"/>
    <col min="3" max="5" width="7.5" style="7" customWidth="1"/>
    <col min="6" max="11" width="7.5" style="5" customWidth="1"/>
    <col min="12" max="12" width="12" style="5" customWidth="1"/>
    <col min="13" max="35" width="3.83203125" style="5" customWidth="1"/>
    <col min="36" max="16384" width="9.33203125" style="5" customWidth="1"/>
  </cols>
  <sheetData>
    <row r="1" spans="1:12" ht="43.5" customHeight="1">
      <c r="A1" s="903" t="str">
        <f>'t1'!A1</f>
        <v>MAGISTRATURA ORDINARIA - anno 2019</v>
      </c>
      <c r="B1" s="903"/>
      <c r="C1" s="903"/>
      <c r="D1" s="903"/>
      <c r="E1" s="903"/>
      <c r="F1" s="903"/>
      <c r="G1" s="903"/>
      <c r="H1" s="903"/>
      <c r="I1" s="903"/>
      <c r="J1" s="903"/>
      <c r="K1" s="903"/>
      <c r="L1" s="305"/>
    </row>
    <row r="2" spans="1:12" ht="30" customHeight="1" thickBot="1">
      <c r="A2" s="1"/>
      <c r="B2" s="2"/>
      <c r="C2" s="2"/>
      <c r="D2" s="2"/>
      <c r="E2" s="2"/>
      <c r="F2" s="3"/>
      <c r="G2" s="3"/>
      <c r="H2" s="3"/>
      <c r="I2" s="3"/>
      <c r="J2" s="3"/>
      <c r="K2" s="3"/>
      <c r="L2" s="474"/>
    </row>
    <row r="3" spans="1:12" ht="13.5" thickBot="1">
      <c r="A3" s="298"/>
      <c r="B3" s="11"/>
      <c r="C3" s="915" t="s">
        <v>55</v>
      </c>
      <c r="D3" s="915"/>
      <c r="E3" s="915"/>
      <c r="F3" s="915"/>
      <c r="G3" s="915"/>
      <c r="H3" s="915"/>
      <c r="I3" s="915"/>
      <c r="J3" s="915"/>
      <c r="K3" s="915"/>
      <c r="L3" s="218"/>
    </row>
    <row r="4" spans="1:12" s="98" customFormat="1" ht="16.5" customHeight="1" thickTop="1">
      <c r="A4" s="301"/>
      <c r="B4" s="299"/>
      <c r="C4" s="913" t="s">
        <v>159</v>
      </c>
      <c r="D4" s="914"/>
      <c r="E4" s="914"/>
      <c r="F4" s="914"/>
      <c r="G4" s="914"/>
      <c r="H4" s="914"/>
      <c r="I4" s="914"/>
      <c r="J4" s="914"/>
      <c r="K4" s="914"/>
      <c r="L4" s="302"/>
    </row>
    <row r="5" spans="1:12" ht="63.75" customHeight="1" thickBot="1">
      <c r="A5" s="297" t="s">
        <v>229</v>
      </c>
      <c r="B5" s="300" t="s">
        <v>230</v>
      </c>
      <c r="C5" s="239" t="str">
        <f>B6</f>
        <v>0D0MT1</v>
      </c>
      <c r="D5" s="240" t="str">
        <f>B7</f>
        <v>0D0MT2</v>
      </c>
      <c r="E5" s="240" t="str">
        <f>B8</f>
        <v>0D0MT3</v>
      </c>
      <c r="F5" s="240" t="str">
        <f>B9</f>
        <v>0D0MT4</v>
      </c>
      <c r="G5" s="240" t="str">
        <f>B10</f>
        <v>0D0MT5</v>
      </c>
      <c r="H5" s="240" t="str">
        <f>B11</f>
        <v>0D0MT6</v>
      </c>
      <c r="I5" s="240" t="str">
        <f>B12</f>
        <v>0D0MT7</v>
      </c>
      <c r="J5" s="240" t="str">
        <f>B13</f>
        <v>0D0MT8</v>
      </c>
      <c r="K5" s="240" t="str">
        <f>B14</f>
        <v>0D0MT9</v>
      </c>
      <c r="L5" s="303" t="s">
        <v>116</v>
      </c>
    </row>
    <row r="6" spans="1:12" ht="12" customHeight="1" thickTop="1">
      <c r="A6" s="19" t="str">
        <f>'t1'!A6</f>
        <v>MAGIST.  CON FUNZ. DIRETT. APICALI GIUDICANTI DI LEGITTIMITÀ</v>
      </c>
      <c r="B6" s="147" t="str">
        <f>'t1'!B6</f>
        <v>0D0MT1</v>
      </c>
      <c r="C6" s="241"/>
      <c r="D6" s="241"/>
      <c r="E6" s="241"/>
      <c r="F6" s="242"/>
      <c r="G6" s="242"/>
      <c r="H6" s="243"/>
      <c r="I6" s="243"/>
      <c r="J6" s="243"/>
      <c r="K6" s="243"/>
      <c r="L6" s="423">
        <f aca="true" t="shared" si="0" ref="L6:L14">SUM(C6:K6)</f>
        <v>0</v>
      </c>
    </row>
    <row r="7" spans="1:12" ht="12" customHeight="1">
      <c r="A7" s="148" t="str">
        <f>'t1'!A7</f>
        <v>MAGIST. CON FUNZ. DIRETT. APICALI REQUIRENTI DI LEGITTIMITÀ</v>
      </c>
      <c r="B7" s="219" t="str">
        <f>'t1'!B7</f>
        <v>0D0MT2</v>
      </c>
      <c r="C7" s="242"/>
      <c r="D7" s="242"/>
      <c r="E7" s="242"/>
      <c r="F7" s="242"/>
      <c r="G7" s="242"/>
      <c r="H7" s="243"/>
      <c r="I7" s="243"/>
      <c r="J7" s="243"/>
      <c r="K7" s="243"/>
      <c r="L7" s="423">
        <f t="shared" si="0"/>
        <v>0</v>
      </c>
    </row>
    <row r="8" spans="1:12" ht="12" customHeight="1">
      <c r="A8" s="148" t="str">
        <f>'t1'!A8</f>
        <v>MAGISTRATI CON FUNZIONI DIRETTIVE SUPERIORI DI LEGITTIMITÀ</v>
      </c>
      <c r="B8" s="219" t="str">
        <f>'t1'!B8</f>
        <v>0D0MT3</v>
      </c>
      <c r="C8" s="242"/>
      <c r="D8" s="242"/>
      <c r="E8" s="242"/>
      <c r="F8" s="242"/>
      <c r="G8" s="242"/>
      <c r="H8" s="243"/>
      <c r="I8" s="243"/>
      <c r="J8" s="243"/>
      <c r="K8" s="243"/>
      <c r="L8" s="423">
        <f t="shared" si="0"/>
        <v>0</v>
      </c>
    </row>
    <row r="9" spans="1:12" ht="12" customHeight="1">
      <c r="A9" s="148" t="str">
        <f>'t1'!A9</f>
        <v>MAGISTRATI ORDINARI VII VALUT. PROF.</v>
      </c>
      <c r="B9" s="219" t="str">
        <f>'t1'!B9</f>
        <v>0D0MT4</v>
      </c>
      <c r="C9" s="242"/>
      <c r="D9" s="242"/>
      <c r="E9" s="242"/>
      <c r="F9" s="242"/>
      <c r="G9" s="242"/>
      <c r="H9" s="243"/>
      <c r="I9" s="243"/>
      <c r="J9" s="243"/>
      <c r="K9" s="243"/>
      <c r="L9" s="423">
        <f t="shared" si="0"/>
        <v>0</v>
      </c>
    </row>
    <row r="10" spans="1:12" ht="12" customHeight="1">
      <c r="A10" s="148" t="str">
        <f>'t1'!A10</f>
        <v>MAGISTRATI ORDINARI V VALUT. PROF.</v>
      </c>
      <c r="B10" s="219" t="str">
        <f>'t1'!B10</f>
        <v>0D0MT5</v>
      </c>
      <c r="C10" s="245"/>
      <c r="D10" s="246"/>
      <c r="E10" s="246"/>
      <c r="F10" s="242"/>
      <c r="G10" s="242"/>
      <c r="H10" s="243"/>
      <c r="I10" s="243"/>
      <c r="J10" s="243"/>
      <c r="K10" s="243"/>
      <c r="L10" s="423">
        <f t="shared" si="0"/>
        <v>0</v>
      </c>
    </row>
    <row r="11" spans="1:12" ht="12" customHeight="1">
      <c r="A11" s="148" t="str">
        <f>'t1'!A11</f>
        <v>MAGISTRATI ORDINARI DOPO 1 ANNO DALLA III VALUT. PROF.</v>
      </c>
      <c r="B11" s="219" t="str">
        <f>'t1'!B11</f>
        <v>0D0MT6</v>
      </c>
      <c r="C11" s="245"/>
      <c r="D11" s="246"/>
      <c r="E11" s="246"/>
      <c r="F11" s="242"/>
      <c r="G11" s="242"/>
      <c r="H11" s="243"/>
      <c r="I11" s="243"/>
      <c r="J11" s="243"/>
      <c r="K11" s="243"/>
      <c r="L11" s="423">
        <f t="shared" si="0"/>
        <v>0</v>
      </c>
    </row>
    <row r="12" spans="1:12" ht="12" customHeight="1">
      <c r="A12" s="148" t="str">
        <f>'t1'!A12</f>
        <v>MAGISTRATI ORDINARI  I  VALUT. PROF.</v>
      </c>
      <c r="B12" s="219" t="str">
        <f>'t1'!B12</f>
        <v>0D0MT7</v>
      </c>
      <c r="C12" s="242"/>
      <c r="D12" s="242"/>
      <c r="E12" s="242"/>
      <c r="F12" s="242"/>
      <c r="G12" s="242"/>
      <c r="H12" s="243"/>
      <c r="I12" s="243"/>
      <c r="J12" s="243"/>
      <c r="K12" s="243"/>
      <c r="L12" s="423">
        <f t="shared" si="0"/>
        <v>0</v>
      </c>
    </row>
    <row r="13" spans="1:12" ht="12" customHeight="1">
      <c r="A13" s="148" t="str">
        <f>'t1'!A13</f>
        <v>MAGISTRATI ORDINARI</v>
      </c>
      <c r="B13" s="219" t="str">
        <f>'t1'!B13</f>
        <v>0D0MT8</v>
      </c>
      <c r="C13" s="247"/>
      <c r="D13" s="247"/>
      <c r="E13" s="247"/>
      <c r="F13" s="247"/>
      <c r="G13" s="247"/>
      <c r="H13" s="246"/>
      <c r="I13" s="246"/>
      <c r="J13" s="246"/>
      <c r="K13" s="246"/>
      <c r="L13" s="423">
        <f t="shared" si="0"/>
        <v>0</v>
      </c>
    </row>
    <row r="14" spans="1:12" ht="12" customHeight="1" thickBot="1">
      <c r="A14" s="148" t="str">
        <f>'t1'!A14</f>
        <v>MAGISTRATI ORDINARI IN TIROCINIO</v>
      </c>
      <c r="B14" s="219" t="str">
        <f>'t1'!B14</f>
        <v>0D0MT9</v>
      </c>
      <c r="C14" s="247"/>
      <c r="D14" s="246"/>
      <c r="E14" s="246"/>
      <c r="F14" s="246"/>
      <c r="G14" s="246"/>
      <c r="H14" s="246"/>
      <c r="I14" s="246"/>
      <c r="J14" s="246"/>
      <c r="K14" s="246"/>
      <c r="L14" s="423">
        <f t="shared" si="0"/>
        <v>0</v>
      </c>
    </row>
    <row r="15" spans="1:12" s="100" customFormat="1" ht="17.25" customHeight="1" thickBot="1" thickTop="1">
      <c r="A15" s="216" t="s">
        <v>156</v>
      </c>
      <c r="B15" s="217"/>
      <c r="C15" s="425">
        <f aca="true" t="shared" si="1" ref="C15:L15">SUM(C6:C14)</f>
        <v>0</v>
      </c>
      <c r="D15" s="426">
        <f t="shared" si="1"/>
        <v>0</v>
      </c>
      <c r="E15" s="426">
        <f t="shared" si="1"/>
        <v>0</v>
      </c>
      <c r="F15" s="426">
        <f t="shared" si="1"/>
        <v>0</v>
      </c>
      <c r="G15" s="426">
        <f t="shared" si="1"/>
        <v>0</v>
      </c>
      <c r="H15" s="426">
        <f t="shared" si="1"/>
        <v>0</v>
      </c>
      <c r="I15" s="426">
        <f t="shared" si="1"/>
        <v>0</v>
      </c>
      <c r="J15" s="426">
        <f t="shared" si="1"/>
        <v>0</v>
      </c>
      <c r="K15" s="426">
        <f t="shared" si="1"/>
        <v>0</v>
      </c>
      <c r="L15" s="424">
        <f t="shared" si="1"/>
        <v>0</v>
      </c>
    </row>
    <row r="16" ht="17.25" customHeight="1">
      <c r="A16" s="21" t="e">
        <f>'t1'!#REF!</f>
        <v>#REF!</v>
      </c>
    </row>
    <row r="17" ht="11.25">
      <c r="A17" s="21"/>
    </row>
    <row r="26" ht="11.25">
      <c r="N26" s="157"/>
    </row>
  </sheetData>
  <sheetProtection password="EA98" sheet="1" formatColumns="0" selectLockedCells="1"/>
  <mergeCells count="3">
    <mergeCell ref="C4:K4"/>
    <mergeCell ref="C3:K3"/>
    <mergeCell ref="A1:K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19"/>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60.66015625" style="86" customWidth="1"/>
    <col min="2" max="2" width="10.66015625" style="96" customWidth="1"/>
    <col min="3" max="14" width="11.16015625" style="86" customWidth="1"/>
    <col min="15" max="18" width="9.33203125" style="86" customWidth="1"/>
    <col min="19" max="20" width="11.16015625" style="86" customWidth="1"/>
    <col min="21" max="21" width="6.66015625" style="86" customWidth="1"/>
    <col min="22" max="25" width="10.83203125" style="86" customWidth="1"/>
    <col min="26" max="16384" width="10.66015625" style="86" customWidth="1"/>
  </cols>
  <sheetData>
    <row r="1" spans="1:20" s="5" customFormat="1" ht="43.5" customHeight="1">
      <c r="A1" s="903" t="str">
        <f>'t1'!A1</f>
        <v>MAGISTRATURA ORDINARIA - anno 2019</v>
      </c>
      <c r="B1" s="903"/>
      <c r="C1" s="903"/>
      <c r="D1" s="903"/>
      <c r="E1" s="903"/>
      <c r="F1" s="903"/>
      <c r="G1" s="903"/>
      <c r="H1" s="903"/>
      <c r="I1" s="903"/>
      <c r="J1" s="903"/>
      <c r="K1" s="903"/>
      <c r="L1" s="903"/>
      <c r="M1" s="903"/>
      <c r="N1" s="903"/>
      <c r="O1" s="903"/>
      <c r="P1" s="903"/>
      <c r="Q1" s="903"/>
      <c r="R1" s="903"/>
      <c r="S1"/>
      <c r="T1" s="305"/>
    </row>
    <row r="2" spans="1:20" s="5" customFormat="1" ht="30" customHeight="1" thickBot="1">
      <c r="A2" s="304"/>
      <c r="B2" s="2"/>
      <c r="C2" s="3"/>
      <c r="D2" s="3"/>
      <c r="E2" s="3"/>
      <c r="F2" s="3"/>
      <c r="G2" s="3"/>
      <c r="H2" s="3"/>
      <c r="I2" s="4"/>
      <c r="J2" s="3"/>
      <c r="K2" s="3"/>
      <c r="L2" s="3"/>
      <c r="M2" s="3"/>
      <c r="N2" s="904"/>
      <c r="O2" s="904"/>
      <c r="P2" s="904"/>
      <c r="Q2" s="904"/>
      <c r="R2" s="904"/>
      <c r="S2" s="904"/>
      <c r="T2" s="904"/>
    </row>
    <row r="3" spans="1:25" ht="15" customHeight="1" thickBot="1">
      <c r="A3" s="87"/>
      <c r="B3" s="88"/>
      <c r="C3" s="296" t="s">
        <v>225</v>
      </c>
      <c r="D3" s="89"/>
      <c r="E3" s="89"/>
      <c r="F3" s="89"/>
      <c r="G3" s="89"/>
      <c r="H3" s="89"/>
      <c r="I3" s="89"/>
      <c r="J3" s="89"/>
      <c r="K3" s="89"/>
      <c r="L3" s="89"/>
      <c r="M3" s="89"/>
      <c r="N3" s="89"/>
      <c r="O3" s="89"/>
      <c r="P3" s="89"/>
      <c r="Q3" s="89"/>
      <c r="R3" s="89"/>
      <c r="S3" s="89"/>
      <c r="T3" s="90"/>
      <c r="V3"/>
      <c r="W3"/>
      <c r="X3"/>
      <c r="Y3"/>
    </row>
    <row r="4" spans="1:25" ht="30" customHeight="1" thickTop="1">
      <c r="A4" s="275" t="s">
        <v>117</v>
      </c>
      <c r="B4" s="91" t="s">
        <v>56</v>
      </c>
      <c r="C4" s="916" t="s">
        <v>308</v>
      </c>
      <c r="D4" s="917"/>
      <c r="E4" s="916" t="s">
        <v>309</v>
      </c>
      <c r="F4" s="917"/>
      <c r="G4" s="916" t="s">
        <v>310</v>
      </c>
      <c r="H4" s="917"/>
      <c r="I4" s="916" t="s">
        <v>49</v>
      </c>
      <c r="J4" s="917"/>
      <c r="K4" s="916" t="s">
        <v>50</v>
      </c>
      <c r="L4" s="917"/>
      <c r="M4" s="916" t="s">
        <v>484</v>
      </c>
      <c r="N4" s="917"/>
      <c r="O4" s="916" t="s">
        <v>526</v>
      </c>
      <c r="P4" s="917"/>
      <c r="Q4" s="916" t="s">
        <v>84</v>
      </c>
      <c r="R4" s="917"/>
      <c r="S4" s="916" t="s">
        <v>59</v>
      </c>
      <c r="T4" s="920"/>
      <c r="V4"/>
      <c r="W4"/>
      <c r="X4"/>
      <c r="Y4"/>
    </row>
    <row r="5" spans="1:25" ht="11.25">
      <c r="A5" s="569"/>
      <c r="B5" s="91"/>
      <c r="C5" s="918" t="s">
        <v>313</v>
      </c>
      <c r="D5" s="919"/>
      <c r="E5" s="918" t="s">
        <v>314</v>
      </c>
      <c r="F5" s="919"/>
      <c r="G5" s="918" t="s">
        <v>315</v>
      </c>
      <c r="H5" s="919"/>
      <c r="I5" s="918" t="s">
        <v>316</v>
      </c>
      <c r="J5" s="919"/>
      <c r="K5" s="918" t="s">
        <v>317</v>
      </c>
      <c r="L5" s="919"/>
      <c r="M5" s="918" t="s">
        <v>462</v>
      </c>
      <c r="N5" s="919"/>
      <c r="O5" s="918" t="s">
        <v>351</v>
      </c>
      <c r="P5" s="919"/>
      <c r="Q5" s="918" t="s">
        <v>318</v>
      </c>
      <c r="R5" s="919"/>
      <c r="S5" s="918"/>
      <c r="T5" s="921"/>
      <c r="V5"/>
      <c r="W5"/>
      <c r="X5"/>
      <c r="Y5"/>
    </row>
    <row r="6" spans="1:25" ht="12" thickBot="1">
      <c r="A6" s="92"/>
      <c r="B6" s="93"/>
      <c r="C6" s="571" t="s">
        <v>57</v>
      </c>
      <c r="D6" s="572" t="s">
        <v>58</v>
      </c>
      <c r="E6" s="571" t="s">
        <v>57</v>
      </c>
      <c r="F6" s="572" t="s">
        <v>58</v>
      </c>
      <c r="G6" s="571" t="s">
        <v>57</v>
      </c>
      <c r="H6" s="572" t="s">
        <v>58</v>
      </c>
      <c r="I6" s="571" t="s">
        <v>57</v>
      </c>
      <c r="J6" s="572" t="s">
        <v>58</v>
      </c>
      <c r="K6" s="571" t="s">
        <v>57</v>
      </c>
      <c r="L6" s="572" t="s">
        <v>58</v>
      </c>
      <c r="M6" s="571" t="s">
        <v>57</v>
      </c>
      <c r="N6" s="572" t="s">
        <v>58</v>
      </c>
      <c r="O6" s="571" t="s">
        <v>57</v>
      </c>
      <c r="P6" s="572" t="s">
        <v>58</v>
      </c>
      <c r="Q6" s="571" t="s">
        <v>57</v>
      </c>
      <c r="R6" s="572" t="s">
        <v>58</v>
      </c>
      <c r="S6" s="571" t="s">
        <v>57</v>
      </c>
      <c r="T6" s="573" t="s">
        <v>58</v>
      </c>
      <c r="V6"/>
      <c r="W6"/>
      <c r="X6"/>
      <c r="Y6"/>
    </row>
    <row r="7" spans="1:25" ht="12.75" customHeight="1" thickTop="1">
      <c r="A7" s="20" t="str">
        <f>'t1'!A6</f>
        <v>MAGIST.  CON FUNZ. DIRETT. APICALI GIUDICANTI DI LEGITTIMITÀ</v>
      </c>
      <c r="B7" s="226" t="str">
        <f>'t1'!B6</f>
        <v>0D0MT1</v>
      </c>
      <c r="C7" s="222"/>
      <c r="D7" s="227"/>
      <c r="E7" s="222"/>
      <c r="F7" s="227"/>
      <c r="G7" s="222"/>
      <c r="H7" s="227"/>
      <c r="I7" s="222"/>
      <c r="J7" s="227"/>
      <c r="K7" s="503"/>
      <c r="L7" s="221"/>
      <c r="M7" s="222"/>
      <c r="N7" s="227"/>
      <c r="O7" s="228"/>
      <c r="P7" s="227"/>
      <c r="Q7" s="228"/>
      <c r="R7" s="227"/>
      <c r="S7" s="427">
        <f>SUM(C7,E7,G7,I7,K7,M7,O7,Q7)</f>
        <v>0</v>
      </c>
      <c r="T7" s="428">
        <f>SUM(D7,F7,H7,J7,L7,N7,P7,R7)</f>
        <v>0</v>
      </c>
      <c r="V7"/>
      <c r="W7"/>
      <c r="X7"/>
      <c r="Y7"/>
    </row>
    <row r="8" spans="1:25" ht="12.75" customHeight="1">
      <c r="A8" s="148" t="str">
        <f>'t1'!A7</f>
        <v>MAGIST. CON FUNZ. DIRETT. APICALI REQUIRENTI DI LEGITTIMITÀ</v>
      </c>
      <c r="B8" s="219" t="str">
        <f>'t1'!B7</f>
        <v>0D0MT2</v>
      </c>
      <c r="C8" s="222"/>
      <c r="D8" s="227"/>
      <c r="E8" s="222"/>
      <c r="F8" s="227"/>
      <c r="G8" s="222"/>
      <c r="H8" s="227"/>
      <c r="I8" s="222"/>
      <c r="J8" s="227"/>
      <c r="K8" s="505"/>
      <c r="L8" s="221"/>
      <c r="M8" s="222"/>
      <c r="N8" s="227"/>
      <c r="O8" s="228"/>
      <c r="P8" s="227"/>
      <c r="Q8" s="228"/>
      <c r="R8" s="227"/>
      <c r="S8" s="429">
        <f aca="true" t="shared" si="0" ref="S8:S15">SUM(C8,E8,G8,I8,K8,M8,O8,Q8)</f>
        <v>0</v>
      </c>
      <c r="T8" s="430">
        <f aca="true" t="shared" si="1" ref="T8:T15">SUM(D8,F8,H8,J8,L8,N8,P8,R8)</f>
        <v>0</v>
      </c>
      <c r="V8"/>
      <c r="W8"/>
      <c r="X8"/>
      <c r="Y8"/>
    </row>
    <row r="9" spans="1:25" ht="12.75" customHeight="1">
      <c r="A9" s="148" t="str">
        <f>'t1'!A8</f>
        <v>MAGISTRATI CON FUNZIONI DIRETTIVE SUPERIORI DI LEGITTIMITÀ</v>
      </c>
      <c r="B9" s="219" t="str">
        <f>'t1'!B8</f>
        <v>0D0MT3</v>
      </c>
      <c r="C9" s="222"/>
      <c r="D9" s="227"/>
      <c r="E9" s="222"/>
      <c r="F9" s="227"/>
      <c r="G9" s="222"/>
      <c r="H9" s="227"/>
      <c r="I9" s="222"/>
      <c r="J9" s="227"/>
      <c r="K9" s="505"/>
      <c r="L9" s="221"/>
      <c r="M9" s="222"/>
      <c r="N9" s="227"/>
      <c r="O9" s="228"/>
      <c r="P9" s="227"/>
      <c r="Q9" s="228"/>
      <c r="R9" s="227"/>
      <c r="S9" s="429">
        <f t="shared" si="0"/>
        <v>0</v>
      </c>
      <c r="T9" s="430">
        <f t="shared" si="1"/>
        <v>0</v>
      </c>
      <c r="V9"/>
      <c r="W9"/>
      <c r="X9"/>
      <c r="Y9"/>
    </row>
    <row r="10" spans="1:25" ht="12.75" customHeight="1">
      <c r="A10" s="148" t="str">
        <f>'t1'!A9</f>
        <v>MAGISTRATI ORDINARI VII VALUT. PROF.</v>
      </c>
      <c r="B10" s="219" t="str">
        <f>'t1'!B9</f>
        <v>0D0MT4</v>
      </c>
      <c r="C10" s="222"/>
      <c r="D10" s="227"/>
      <c r="E10" s="222"/>
      <c r="F10" s="227"/>
      <c r="G10" s="222"/>
      <c r="H10" s="227"/>
      <c r="I10" s="222"/>
      <c r="J10" s="227"/>
      <c r="K10" s="505"/>
      <c r="L10" s="221"/>
      <c r="M10" s="222"/>
      <c r="N10" s="227"/>
      <c r="O10" s="228"/>
      <c r="P10" s="227"/>
      <c r="Q10" s="228"/>
      <c r="R10" s="227"/>
      <c r="S10" s="429">
        <f t="shared" si="0"/>
        <v>0</v>
      </c>
      <c r="T10" s="430">
        <f t="shared" si="1"/>
        <v>0</v>
      </c>
      <c r="V10"/>
      <c r="W10"/>
      <c r="X10"/>
      <c r="Y10"/>
    </row>
    <row r="11" spans="1:25" ht="12.75" customHeight="1">
      <c r="A11" s="148" t="str">
        <f>'t1'!A10</f>
        <v>MAGISTRATI ORDINARI V VALUT. PROF.</v>
      </c>
      <c r="B11" s="219" t="str">
        <f>'t1'!B10</f>
        <v>0D0MT5</v>
      </c>
      <c r="C11" s="222"/>
      <c r="D11" s="227"/>
      <c r="E11" s="222"/>
      <c r="F11" s="227"/>
      <c r="G11" s="222"/>
      <c r="H11" s="227"/>
      <c r="I11" s="222"/>
      <c r="J11" s="227"/>
      <c r="K11" s="505"/>
      <c r="L11" s="221"/>
      <c r="M11" s="222"/>
      <c r="N11" s="227"/>
      <c r="O11" s="228"/>
      <c r="P11" s="227"/>
      <c r="Q11" s="228"/>
      <c r="R11" s="227"/>
      <c r="S11" s="429">
        <f t="shared" si="0"/>
        <v>0</v>
      </c>
      <c r="T11" s="430">
        <f t="shared" si="1"/>
        <v>0</v>
      </c>
      <c r="V11"/>
      <c r="W11"/>
      <c r="X11"/>
      <c r="Y11"/>
    </row>
    <row r="12" spans="1:25" ht="12.75" customHeight="1">
      <c r="A12" s="148" t="str">
        <f>'t1'!A11</f>
        <v>MAGISTRATI ORDINARI DOPO 1 ANNO DALLA III VALUT. PROF.</v>
      </c>
      <c r="B12" s="219" t="str">
        <f>'t1'!B11</f>
        <v>0D0MT6</v>
      </c>
      <c r="C12" s="222"/>
      <c r="D12" s="227"/>
      <c r="E12" s="222"/>
      <c r="F12" s="227"/>
      <c r="G12" s="222"/>
      <c r="H12" s="227"/>
      <c r="I12" s="222"/>
      <c r="J12" s="227"/>
      <c r="K12" s="505"/>
      <c r="L12" s="221"/>
      <c r="M12" s="222"/>
      <c r="N12" s="227"/>
      <c r="O12" s="228"/>
      <c r="P12" s="227"/>
      <c r="Q12" s="228"/>
      <c r="R12" s="227"/>
      <c r="S12" s="429">
        <f t="shared" si="0"/>
        <v>0</v>
      </c>
      <c r="T12" s="430">
        <f t="shared" si="1"/>
        <v>0</v>
      </c>
      <c r="V12"/>
      <c r="W12"/>
      <c r="X12"/>
      <c r="Y12"/>
    </row>
    <row r="13" spans="1:25" ht="12.75" customHeight="1">
      <c r="A13" s="148" t="str">
        <f>'t1'!A12</f>
        <v>MAGISTRATI ORDINARI  I  VALUT. PROF.</v>
      </c>
      <c r="B13" s="219" t="str">
        <f>'t1'!B12</f>
        <v>0D0MT7</v>
      </c>
      <c r="C13" s="222"/>
      <c r="D13" s="227"/>
      <c r="E13" s="222"/>
      <c r="F13" s="227"/>
      <c r="G13" s="222"/>
      <c r="H13" s="227"/>
      <c r="I13" s="222"/>
      <c r="J13" s="227"/>
      <c r="K13" s="505"/>
      <c r="L13" s="221"/>
      <c r="M13" s="222"/>
      <c r="N13" s="227"/>
      <c r="O13" s="228"/>
      <c r="P13" s="227"/>
      <c r="Q13" s="228"/>
      <c r="R13" s="227"/>
      <c r="S13" s="429">
        <f t="shared" si="0"/>
        <v>0</v>
      </c>
      <c r="T13" s="430">
        <f t="shared" si="1"/>
        <v>0</v>
      </c>
      <c r="V13"/>
      <c r="W13"/>
      <c r="X13"/>
      <c r="Y13"/>
    </row>
    <row r="14" spans="1:25" ht="12.75" customHeight="1">
      <c r="A14" s="148" t="str">
        <f>'t1'!A13</f>
        <v>MAGISTRATI ORDINARI</v>
      </c>
      <c r="B14" s="219" t="str">
        <f>'t1'!B13</f>
        <v>0D0MT8</v>
      </c>
      <c r="C14" s="222"/>
      <c r="D14" s="227"/>
      <c r="E14" s="222"/>
      <c r="F14" s="227"/>
      <c r="G14" s="222"/>
      <c r="H14" s="227"/>
      <c r="I14" s="222"/>
      <c r="J14" s="227"/>
      <c r="K14" s="505"/>
      <c r="L14" s="221"/>
      <c r="M14" s="222"/>
      <c r="N14" s="227"/>
      <c r="O14" s="228"/>
      <c r="P14" s="227"/>
      <c r="Q14" s="228"/>
      <c r="R14" s="227"/>
      <c r="S14" s="429">
        <f t="shared" si="0"/>
        <v>0</v>
      </c>
      <c r="T14" s="430">
        <f t="shared" si="1"/>
        <v>0</v>
      </c>
      <c r="V14"/>
      <c r="W14"/>
      <c r="X14"/>
      <c r="Y14"/>
    </row>
    <row r="15" spans="1:25" ht="12.75" customHeight="1" thickBot="1">
      <c r="A15" s="148" t="str">
        <f>'t1'!A14</f>
        <v>MAGISTRATI ORDINARI IN TIROCINIO</v>
      </c>
      <c r="B15" s="219" t="str">
        <f>'t1'!B14</f>
        <v>0D0MT9</v>
      </c>
      <c r="C15" s="222"/>
      <c r="D15" s="227"/>
      <c r="E15" s="222"/>
      <c r="F15" s="227"/>
      <c r="G15" s="222"/>
      <c r="H15" s="227"/>
      <c r="I15" s="222"/>
      <c r="J15" s="227"/>
      <c r="K15" s="505"/>
      <c r="L15" s="221"/>
      <c r="M15" s="222"/>
      <c r="N15" s="227"/>
      <c r="O15" s="228"/>
      <c r="P15" s="227"/>
      <c r="Q15" s="228"/>
      <c r="R15" s="227"/>
      <c r="S15" s="429">
        <f t="shared" si="0"/>
        <v>0</v>
      </c>
      <c r="T15" s="430">
        <f t="shared" si="1"/>
        <v>0</v>
      </c>
      <c r="V15"/>
      <c r="W15"/>
      <c r="X15"/>
      <c r="Y15"/>
    </row>
    <row r="16" spans="1:25" ht="13.5" customHeight="1" thickBot="1" thickTop="1">
      <c r="A16" s="289" t="s">
        <v>59</v>
      </c>
      <c r="B16" s="95"/>
      <c r="C16" s="431">
        <f aca="true" t="shared" si="2" ref="C16:T16">SUM(C7:C15)</f>
        <v>0</v>
      </c>
      <c r="D16" s="432">
        <f t="shared" si="2"/>
        <v>0</v>
      </c>
      <c r="E16" s="431">
        <f t="shared" si="2"/>
        <v>0</v>
      </c>
      <c r="F16" s="432">
        <f t="shared" si="2"/>
        <v>0</v>
      </c>
      <c r="G16" s="431">
        <f t="shared" si="2"/>
        <v>0</v>
      </c>
      <c r="H16" s="432">
        <f t="shared" si="2"/>
        <v>0</v>
      </c>
      <c r="I16" s="431">
        <f t="shared" si="2"/>
        <v>0</v>
      </c>
      <c r="J16" s="432">
        <f t="shared" si="2"/>
        <v>0</v>
      </c>
      <c r="K16" s="431">
        <f t="shared" si="2"/>
        <v>0</v>
      </c>
      <c r="L16" s="504">
        <f t="shared" si="2"/>
        <v>0</v>
      </c>
      <c r="M16" s="431">
        <f t="shared" si="2"/>
        <v>0</v>
      </c>
      <c r="N16" s="432">
        <f t="shared" si="2"/>
        <v>0</v>
      </c>
      <c r="O16" s="431">
        <f t="shared" si="2"/>
        <v>0</v>
      </c>
      <c r="P16" s="432">
        <f t="shared" si="2"/>
        <v>0</v>
      </c>
      <c r="Q16" s="431">
        <f t="shared" si="2"/>
        <v>0</v>
      </c>
      <c r="R16" s="432">
        <f t="shared" si="2"/>
        <v>0</v>
      </c>
      <c r="S16" s="431">
        <f t="shared" si="2"/>
        <v>0</v>
      </c>
      <c r="T16" s="517">
        <f t="shared" si="2"/>
        <v>0</v>
      </c>
      <c r="V16"/>
      <c r="W16"/>
      <c r="X16"/>
      <c r="Y16"/>
    </row>
    <row r="17" ht="18.75" customHeight="1">
      <c r="A17" s="86" t="s">
        <v>86</v>
      </c>
    </row>
    <row r="18" spans="1:14" ht="11.25">
      <c r="A18" s="21" t="e">
        <f>'t1'!#REF!</f>
        <v>#REF!</v>
      </c>
      <c r="B18" s="7"/>
      <c r="C18" s="5"/>
      <c r="D18" s="5"/>
      <c r="E18" s="5"/>
      <c r="F18" s="5"/>
      <c r="G18" s="5"/>
      <c r="H18" s="5"/>
      <c r="I18" s="5"/>
      <c r="J18" s="5"/>
      <c r="K18" s="5"/>
      <c r="L18" s="5"/>
      <c r="M18" s="5"/>
      <c r="N18" s="5"/>
    </row>
    <row r="19" ht="11.25">
      <c r="A19" s="21"/>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20"/>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60.66015625" style="76" customWidth="1"/>
    <col min="2" max="2" width="10.66015625" style="85" customWidth="1"/>
    <col min="3" max="8" width="10.83203125" style="76" customWidth="1"/>
    <col min="9" max="12" width="11.16015625" style="76" customWidth="1"/>
    <col min="13" max="20" width="10.33203125" style="76" customWidth="1"/>
    <col min="21" max="22" width="10.83203125" style="76" customWidth="1"/>
    <col min="23" max="23" width="5.83203125" style="76" customWidth="1"/>
    <col min="24" max="16384" width="10.66015625" style="76" customWidth="1"/>
  </cols>
  <sheetData>
    <row r="1" spans="1:23" s="5" customFormat="1" ht="43.5" customHeight="1">
      <c r="A1" s="903" t="str">
        <f>'t1'!A1</f>
        <v>MAGISTRATURA ORDINARIA - anno 2019</v>
      </c>
      <c r="B1" s="903"/>
      <c r="C1" s="903"/>
      <c r="D1" s="903"/>
      <c r="E1" s="903"/>
      <c r="F1" s="903"/>
      <c r="G1" s="903"/>
      <c r="H1" s="903"/>
      <c r="I1" s="903"/>
      <c r="J1" s="903"/>
      <c r="K1" s="903"/>
      <c r="L1" s="903"/>
      <c r="M1" s="903"/>
      <c r="N1" s="903"/>
      <c r="O1" s="903"/>
      <c r="P1" s="903"/>
      <c r="Q1" s="340"/>
      <c r="R1" s="340"/>
      <c r="S1" s="340"/>
      <c r="T1" s="340"/>
      <c r="U1" s="3"/>
      <c r="V1" s="305"/>
      <c r="W1"/>
    </row>
    <row r="2" spans="1:22" ht="30" customHeight="1" thickBot="1">
      <c r="A2" s="72"/>
      <c r="B2" s="73"/>
      <c r="C2" s="74"/>
      <c r="D2" s="75"/>
      <c r="E2" s="75"/>
      <c r="F2" s="75"/>
      <c r="G2" s="74"/>
      <c r="H2" s="74"/>
      <c r="I2" s="74"/>
      <c r="J2" s="904"/>
      <c r="K2" s="904"/>
      <c r="L2" s="904"/>
      <c r="M2" s="904"/>
      <c r="N2" s="904"/>
      <c r="O2" s="904"/>
      <c r="P2" s="904"/>
      <c r="Q2" s="904"/>
      <c r="R2" s="904"/>
      <c r="S2" s="904"/>
      <c r="T2" s="904"/>
      <c r="U2" s="904"/>
      <c r="V2" s="904"/>
    </row>
    <row r="3" spans="1:22" ht="15" customHeight="1" thickBot="1">
      <c r="A3" s="77"/>
      <c r="B3" s="78"/>
      <c r="C3" s="79" t="s">
        <v>226</v>
      </c>
      <c r="D3" s="80"/>
      <c r="E3" s="80"/>
      <c r="F3" s="80"/>
      <c r="G3" s="80"/>
      <c r="H3" s="80"/>
      <c r="I3" s="80"/>
      <c r="J3" s="80"/>
      <c r="K3" s="80"/>
      <c r="L3" s="80"/>
      <c r="M3" s="80"/>
      <c r="N3" s="80"/>
      <c r="O3" s="80"/>
      <c r="P3" s="80"/>
      <c r="Q3" s="80"/>
      <c r="R3" s="80"/>
      <c r="S3" s="80"/>
      <c r="T3" s="80"/>
      <c r="U3" s="724"/>
      <c r="V3" s="725"/>
    </row>
    <row r="4" spans="1:22" ht="37.5" customHeight="1" thickTop="1">
      <c r="A4" s="274" t="s">
        <v>122</v>
      </c>
      <c r="B4" s="81" t="s">
        <v>56</v>
      </c>
      <c r="C4" s="924" t="s">
        <v>312</v>
      </c>
      <c r="D4" s="906"/>
      <c r="E4" s="924" t="s">
        <v>84</v>
      </c>
      <c r="F4" s="906"/>
      <c r="G4" s="924" t="s">
        <v>475</v>
      </c>
      <c r="H4" s="925"/>
      <c r="I4" s="926" t="s">
        <v>289</v>
      </c>
      <c r="J4" s="927"/>
      <c r="K4" s="924" t="s">
        <v>290</v>
      </c>
      <c r="L4" s="925"/>
      <c r="M4" s="924" t="s">
        <v>291</v>
      </c>
      <c r="N4" s="925"/>
      <c r="O4" s="926" t="s">
        <v>292</v>
      </c>
      <c r="P4" s="930"/>
      <c r="Q4" s="924" t="s">
        <v>525</v>
      </c>
      <c r="R4" s="925"/>
      <c r="S4" s="926" t="s">
        <v>523</v>
      </c>
      <c r="T4" s="930"/>
      <c r="U4" s="931" t="s">
        <v>59</v>
      </c>
      <c r="V4" s="932"/>
    </row>
    <row r="5" spans="1:22" ht="11.25">
      <c r="A5" s="570"/>
      <c r="B5" s="81"/>
      <c r="C5" s="922" t="s">
        <v>319</v>
      </c>
      <c r="D5" s="923"/>
      <c r="E5" s="922" t="s">
        <v>320</v>
      </c>
      <c r="F5" s="923"/>
      <c r="G5" s="922" t="s">
        <v>321</v>
      </c>
      <c r="H5" s="923"/>
      <c r="I5" s="922" t="s">
        <v>322</v>
      </c>
      <c r="J5" s="923"/>
      <c r="K5" s="922" t="s">
        <v>323</v>
      </c>
      <c r="L5" s="923"/>
      <c r="M5" s="922" t="s">
        <v>324</v>
      </c>
      <c r="N5" s="923"/>
      <c r="O5" s="922" t="s">
        <v>325</v>
      </c>
      <c r="P5" s="923"/>
      <c r="Q5" s="922" t="s">
        <v>463</v>
      </c>
      <c r="R5" s="923"/>
      <c r="S5" s="922" t="s">
        <v>524</v>
      </c>
      <c r="T5" s="923"/>
      <c r="U5" s="928"/>
      <c r="V5" s="929"/>
    </row>
    <row r="6" spans="1:22" ht="12" thickBot="1">
      <c r="A6" s="755" t="s">
        <v>483</v>
      </c>
      <c r="B6" s="82"/>
      <c r="C6" s="574" t="s">
        <v>57</v>
      </c>
      <c r="D6" s="575" t="s">
        <v>58</v>
      </c>
      <c r="E6" s="574" t="s">
        <v>57</v>
      </c>
      <c r="F6" s="575" t="s">
        <v>58</v>
      </c>
      <c r="G6" s="574" t="s">
        <v>57</v>
      </c>
      <c r="H6" s="575" t="s">
        <v>58</v>
      </c>
      <c r="I6" s="574" t="s">
        <v>57</v>
      </c>
      <c r="J6" s="575" t="s">
        <v>58</v>
      </c>
      <c r="K6" s="574" t="s">
        <v>57</v>
      </c>
      <c r="L6" s="575" t="s">
        <v>58</v>
      </c>
      <c r="M6" s="574" t="s">
        <v>57</v>
      </c>
      <c r="N6" s="575" t="s">
        <v>58</v>
      </c>
      <c r="O6" s="574" t="s">
        <v>57</v>
      </c>
      <c r="P6" s="575" t="s">
        <v>58</v>
      </c>
      <c r="Q6" s="574" t="s">
        <v>57</v>
      </c>
      <c r="R6" s="575" t="s">
        <v>58</v>
      </c>
      <c r="S6" s="574" t="s">
        <v>57</v>
      </c>
      <c r="T6" s="575" t="s">
        <v>58</v>
      </c>
      <c r="U6" s="574" t="s">
        <v>57</v>
      </c>
      <c r="V6" s="576" t="s">
        <v>58</v>
      </c>
    </row>
    <row r="7" spans="1:22" ht="12" customHeight="1" thickTop="1">
      <c r="A7" s="20" t="str">
        <f>'t1'!A6</f>
        <v>MAGIST.  CON FUNZ. DIRETT. APICALI GIUDICANTI DI LEGITTIMITÀ</v>
      </c>
      <c r="B7" s="226" t="str">
        <f>'t1'!B6</f>
        <v>0D0MT1</v>
      </c>
      <c r="C7" s="645"/>
      <c r="D7" s="625"/>
      <c r="E7" s="624"/>
      <c r="F7" s="626"/>
      <c r="G7" s="624"/>
      <c r="H7" s="626"/>
      <c r="I7" s="624"/>
      <c r="J7" s="625"/>
      <c r="K7" s="626"/>
      <c r="L7" s="625"/>
      <c r="M7" s="626"/>
      <c r="N7" s="625"/>
      <c r="O7" s="627"/>
      <c r="P7" s="628"/>
      <c r="Q7" s="645"/>
      <c r="R7" s="726"/>
      <c r="S7" s="727"/>
      <c r="T7" s="726"/>
      <c r="U7" s="433">
        <f>SUM(C7,E7,G7,I7,K7,M7,O7,Q7,S7)</f>
        <v>0</v>
      </c>
      <c r="V7" s="434">
        <f>SUM(D7,F7,H7,J7,L7,N7,P7,R7,T7)</f>
        <v>0</v>
      </c>
    </row>
    <row r="8" spans="1:22" ht="12" customHeight="1">
      <c r="A8" s="148" t="str">
        <f>'t1'!A7</f>
        <v>MAGIST. CON FUNZ. DIRETT. APICALI REQUIRENTI DI LEGITTIMITÀ</v>
      </c>
      <c r="B8" s="219" t="str">
        <f>'t1'!B7</f>
        <v>0D0MT2</v>
      </c>
      <c r="C8" s="629"/>
      <c r="D8" s="630"/>
      <c r="E8" s="629"/>
      <c r="F8" s="631"/>
      <c r="G8" s="629"/>
      <c r="H8" s="631"/>
      <c r="I8" s="629"/>
      <c r="J8" s="630"/>
      <c r="K8" s="631"/>
      <c r="L8" s="630"/>
      <c r="M8" s="631"/>
      <c r="N8" s="630"/>
      <c r="O8" s="632"/>
      <c r="P8" s="633"/>
      <c r="Q8" s="728"/>
      <c r="R8" s="729"/>
      <c r="S8" s="730"/>
      <c r="T8" s="729"/>
      <c r="U8" s="433">
        <f aca="true" t="shared" si="0" ref="U8:U15">SUM(C8,E8,G8,I8,K8,M8,O8,Q8,S8)</f>
        <v>0</v>
      </c>
      <c r="V8" s="434">
        <f aca="true" t="shared" si="1" ref="V8:V15">SUM(D8,F8,H8,J8,L8,N8,P8,R8,T8)</f>
        <v>0</v>
      </c>
    </row>
    <row r="9" spans="1:22" ht="12" customHeight="1">
      <c r="A9" s="148" t="str">
        <f>'t1'!A8</f>
        <v>MAGISTRATI CON FUNZIONI DIRETTIVE SUPERIORI DI LEGITTIMITÀ</v>
      </c>
      <c r="B9" s="219" t="str">
        <f>'t1'!B8</f>
        <v>0D0MT3</v>
      </c>
      <c r="C9" s="629"/>
      <c r="D9" s="630"/>
      <c r="E9" s="629"/>
      <c r="F9" s="631"/>
      <c r="G9" s="629"/>
      <c r="H9" s="631"/>
      <c r="I9" s="629"/>
      <c r="J9" s="630"/>
      <c r="K9" s="631"/>
      <c r="L9" s="630"/>
      <c r="M9" s="631"/>
      <c r="N9" s="630"/>
      <c r="O9" s="632"/>
      <c r="P9" s="633"/>
      <c r="Q9" s="728"/>
      <c r="R9" s="729"/>
      <c r="S9" s="730"/>
      <c r="T9" s="729"/>
      <c r="U9" s="433">
        <f t="shared" si="0"/>
        <v>0</v>
      </c>
      <c r="V9" s="434">
        <f t="shared" si="1"/>
        <v>0</v>
      </c>
    </row>
    <row r="10" spans="1:22" ht="12" customHeight="1">
      <c r="A10" s="148" t="str">
        <f>'t1'!A9</f>
        <v>MAGISTRATI ORDINARI VII VALUT. PROF.</v>
      </c>
      <c r="B10" s="219" t="str">
        <f>'t1'!B9</f>
        <v>0D0MT4</v>
      </c>
      <c r="C10" s="629"/>
      <c r="D10" s="630"/>
      <c r="E10" s="629"/>
      <c r="F10" s="631"/>
      <c r="G10" s="629"/>
      <c r="H10" s="631"/>
      <c r="I10" s="629"/>
      <c r="J10" s="630"/>
      <c r="K10" s="631"/>
      <c r="L10" s="630"/>
      <c r="M10" s="631"/>
      <c r="N10" s="630"/>
      <c r="O10" s="632"/>
      <c r="P10" s="633"/>
      <c r="Q10" s="728"/>
      <c r="R10" s="729"/>
      <c r="S10" s="730"/>
      <c r="T10" s="729"/>
      <c r="U10" s="433">
        <f t="shared" si="0"/>
        <v>0</v>
      </c>
      <c r="V10" s="434">
        <f t="shared" si="1"/>
        <v>0</v>
      </c>
    </row>
    <row r="11" spans="1:22" ht="12" customHeight="1">
      <c r="A11" s="148" t="str">
        <f>'t1'!A10</f>
        <v>MAGISTRATI ORDINARI V VALUT. PROF.</v>
      </c>
      <c r="B11" s="219" t="str">
        <f>'t1'!B10</f>
        <v>0D0MT5</v>
      </c>
      <c r="C11" s="629"/>
      <c r="D11" s="630"/>
      <c r="E11" s="629"/>
      <c r="F11" s="631"/>
      <c r="G11" s="629"/>
      <c r="H11" s="631"/>
      <c r="I11" s="629"/>
      <c r="J11" s="630"/>
      <c r="K11" s="631"/>
      <c r="L11" s="630"/>
      <c r="M11" s="631"/>
      <c r="N11" s="630"/>
      <c r="O11" s="632"/>
      <c r="P11" s="633"/>
      <c r="Q11" s="728"/>
      <c r="R11" s="729"/>
      <c r="S11" s="730"/>
      <c r="T11" s="729"/>
      <c r="U11" s="433">
        <f t="shared" si="0"/>
        <v>0</v>
      </c>
      <c r="V11" s="434">
        <f t="shared" si="1"/>
        <v>0</v>
      </c>
    </row>
    <row r="12" spans="1:22" ht="12" customHeight="1">
      <c r="A12" s="148" t="str">
        <f>'t1'!A11</f>
        <v>MAGISTRATI ORDINARI DOPO 1 ANNO DALLA III VALUT. PROF.</v>
      </c>
      <c r="B12" s="219" t="str">
        <f>'t1'!B11</f>
        <v>0D0MT6</v>
      </c>
      <c r="C12" s="629"/>
      <c r="D12" s="630"/>
      <c r="E12" s="629"/>
      <c r="F12" s="631"/>
      <c r="G12" s="629"/>
      <c r="H12" s="631"/>
      <c r="I12" s="629"/>
      <c r="J12" s="630"/>
      <c r="K12" s="631"/>
      <c r="L12" s="630"/>
      <c r="M12" s="631"/>
      <c r="N12" s="630"/>
      <c r="O12" s="632"/>
      <c r="P12" s="633"/>
      <c r="Q12" s="728"/>
      <c r="R12" s="729"/>
      <c r="S12" s="730"/>
      <c r="T12" s="729"/>
      <c r="U12" s="433">
        <f t="shared" si="0"/>
        <v>0</v>
      </c>
      <c r="V12" s="434">
        <f t="shared" si="1"/>
        <v>0</v>
      </c>
    </row>
    <row r="13" spans="1:22" ht="12" customHeight="1">
      <c r="A13" s="148" t="str">
        <f>'t1'!A12</f>
        <v>MAGISTRATI ORDINARI  I  VALUT. PROF.</v>
      </c>
      <c r="B13" s="219" t="str">
        <f>'t1'!B12</f>
        <v>0D0MT7</v>
      </c>
      <c r="C13" s="629"/>
      <c r="D13" s="630"/>
      <c r="E13" s="629"/>
      <c r="F13" s="631"/>
      <c r="G13" s="629"/>
      <c r="H13" s="631"/>
      <c r="I13" s="629"/>
      <c r="J13" s="630"/>
      <c r="K13" s="631"/>
      <c r="L13" s="630"/>
      <c r="M13" s="631"/>
      <c r="N13" s="630"/>
      <c r="O13" s="632"/>
      <c r="P13" s="633"/>
      <c r="Q13" s="728"/>
      <c r="R13" s="729"/>
      <c r="S13" s="730"/>
      <c r="T13" s="729"/>
      <c r="U13" s="433">
        <f t="shared" si="0"/>
        <v>0</v>
      </c>
      <c r="V13" s="434">
        <f t="shared" si="1"/>
        <v>0</v>
      </c>
    </row>
    <row r="14" spans="1:22" ht="12" customHeight="1">
      <c r="A14" s="148" t="str">
        <f>'t1'!A13</f>
        <v>MAGISTRATI ORDINARI</v>
      </c>
      <c r="B14" s="219" t="str">
        <f>'t1'!B13</f>
        <v>0D0MT8</v>
      </c>
      <c r="C14" s="629"/>
      <c r="D14" s="630"/>
      <c r="E14" s="629"/>
      <c r="F14" s="631"/>
      <c r="G14" s="629"/>
      <c r="H14" s="631"/>
      <c r="I14" s="629"/>
      <c r="J14" s="630"/>
      <c r="K14" s="631"/>
      <c r="L14" s="630"/>
      <c r="M14" s="631"/>
      <c r="N14" s="630"/>
      <c r="O14" s="632"/>
      <c r="P14" s="633"/>
      <c r="Q14" s="728"/>
      <c r="R14" s="729"/>
      <c r="S14" s="730"/>
      <c r="T14" s="729"/>
      <c r="U14" s="433">
        <f t="shared" si="0"/>
        <v>0</v>
      </c>
      <c r="V14" s="434">
        <f t="shared" si="1"/>
        <v>0</v>
      </c>
    </row>
    <row r="15" spans="1:22" ht="12" customHeight="1" thickBot="1">
      <c r="A15" s="148" t="str">
        <f>'t1'!A14</f>
        <v>MAGISTRATI ORDINARI IN TIROCINIO</v>
      </c>
      <c r="B15" s="219" t="str">
        <f>'t1'!B14</f>
        <v>0D0MT9</v>
      </c>
      <c r="C15" s="629"/>
      <c r="D15" s="630"/>
      <c r="E15" s="629"/>
      <c r="F15" s="631"/>
      <c r="G15" s="629"/>
      <c r="H15" s="631"/>
      <c r="I15" s="629"/>
      <c r="J15" s="630"/>
      <c r="K15" s="631"/>
      <c r="L15" s="630"/>
      <c r="M15" s="631"/>
      <c r="N15" s="630"/>
      <c r="O15" s="632"/>
      <c r="P15" s="633"/>
      <c r="Q15" s="732"/>
      <c r="R15" s="731"/>
      <c r="S15" s="730"/>
      <c r="T15" s="729"/>
      <c r="U15" s="433">
        <f t="shared" si="0"/>
        <v>0</v>
      </c>
      <c r="V15" s="434">
        <f t="shared" si="1"/>
        <v>0</v>
      </c>
    </row>
    <row r="16" spans="1:22" ht="12.75" customHeight="1" thickBot="1" thickTop="1">
      <c r="A16" s="83" t="s">
        <v>59</v>
      </c>
      <c r="B16" s="84"/>
      <c r="C16" s="435">
        <f aca="true" t="shared" si="2" ref="C16:V16">SUM(C7:C15)</f>
        <v>0</v>
      </c>
      <c r="D16" s="437">
        <f t="shared" si="2"/>
        <v>0</v>
      </c>
      <c r="E16" s="518">
        <f t="shared" si="2"/>
        <v>0</v>
      </c>
      <c r="F16" s="437">
        <f t="shared" si="2"/>
        <v>0</v>
      </c>
      <c r="G16" s="518">
        <f t="shared" si="2"/>
        <v>0</v>
      </c>
      <c r="H16" s="437">
        <f t="shared" si="2"/>
        <v>0</v>
      </c>
      <c r="I16" s="518">
        <f t="shared" si="2"/>
        <v>0</v>
      </c>
      <c r="J16" s="437">
        <f t="shared" si="2"/>
        <v>0</v>
      </c>
      <c r="K16" s="518">
        <f t="shared" si="2"/>
        <v>0</v>
      </c>
      <c r="L16" s="437">
        <f t="shared" si="2"/>
        <v>0</v>
      </c>
      <c r="M16" s="518">
        <f t="shared" si="2"/>
        <v>0</v>
      </c>
      <c r="N16" s="437">
        <f t="shared" si="2"/>
        <v>0</v>
      </c>
      <c r="O16" s="518">
        <f t="shared" si="2"/>
        <v>0</v>
      </c>
      <c r="P16" s="437">
        <f t="shared" si="2"/>
        <v>0</v>
      </c>
      <c r="Q16" s="733">
        <f>SUM(Q7:Q15)</f>
        <v>0</v>
      </c>
      <c r="R16" s="734">
        <f>SUM(R7:R15)</f>
        <v>0</v>
      </c>
      <c r="S16" s="733">
        <f>SUM(S7:S15)</f>
        <v>0</v>
      </c>
      <c r="T16" s="734">
        <f>SUM(T7:T15)</f>
        <v>0</v>
      </c>
      <c r="U16" s="435">
        <f t="shared" si="2"/>
        <v>0</v>
      </c>
      <c r="V16" s="436">
        <f t="shared" si="2"/>
        <v>0</v>
      </c>
    </row>
    <row r="18" spans="1:20" ht="9.75" customHeight="1">
      <c r="A18" s="21"/>
      <c r="B18" s="7"/>
      <c r="C18" s="5"/>
      <c r="D18" s="5"/>
      <c r="E18" s="5"/>
      <c r="F18" s="5"/>
      <c r="G18" s="5"/>
      <c r="H18" s="5"/>
      <c r="I18" s="5"/>
      <c r="J18" s="5"/>
      <c r="K18" s="5"/>
      <c r="L18" s="5"/>
      <c r="M18" s="5"/>
      <c r="N18" s="5"/>
      <c r="O18" s="5"/>
      <c r="P18" s="5"/>
      <c r="Q18" s="5"/>
      <c r="R18" s="5"/>
      <c r="S18" s="5"/>
      <c r="T18" s="5"/>
    </row>
    <row r="19" spans="1:2" s="5" customFormat="1" ht="11.25">
      <c r="A19" s="21"/>
      <c r="B19" s="7"/>
    </row>
    <row r="20" ht="11.25">
      <c r="A20" s="76" t="s">
        <v>133</v>
      </c>
    </row>
  </sheetData>
  <sheetProtection password="EA98" sheet="1" formatColumns="0" selectLockedCells="1"/>
  <mergeCells count="22">
    <mergeCell ref="G5:H5"/>
    <mergeCell ref="I5:J5"/>
    <mergeCell ref="Q4:R4"/>
    <mergeCell ref="Q5:R5"/>
    <mergeCell ref="J2:V2"/>
    <mergeCell ref="I4:J4"/>
    <mergeCell ref="K4:L4"/>
    <mergeCell ref="U5:V5"/>
    <mergeCell ref="O4:P4"/>
    <mergeCell ref="U4:V4"/>
    <mergeCell ref="S4:T4"/>
    <mergeCell ref="S5:T5"/>
    <mergeCell ref="C5:D5"/>
    <mergeCell ref="A1:P1"/>
    <mergeCell ref="G4:H4"/>
    <mergeCell ref="C4:D4"/>
    <mergeCell ref="E4:F4"/>
    <mergeCell ref="K5:L5"/>
    <mergeCell ref="M5:N5"/>
    <mergeCell ref="O5:P5"/>
    <mergeCell ref="M4:N4"/>
    <mergeCell ref="E5:F5"/>
  </mergeCells>
  <conditionalFormatting sqref="S7:T15">
    <cfRule type="expression" priority="1" dxfId="4"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X1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60.66015625" style="56" customWidth="1"/>
    <col min="2" max="2" width="10.5" style="58" customWidth="1"/>
    <col min="3" max="22" width="8.33203125" style="56" customWidth="1"/>
    <col min="23" max="23" width="10" style="56" customWidth="1"/>
    <col min="24" max="16384" width="10.66015625" style="56" customWidth="1"/>
  </cols>
  <sheetData>
    <row r="1" spans="1:24" s="5" customFormat="1" ht="43.5" customHeight="1">
      <c r="A1" s="903" t="str">
        <f>'t1'!A1</f>
        <v>MAGISTRATURA ORDINARIA - anno 2019</v>
      </c>
      <c r="B1" s="903"/>
      <c r="C1" s="903"/>
      <c r="D1" s="903"/>
      <c r="E1" s="903"/>
      <c r="F1" s="903"/>
      <c r="G1" s="903"/>
      <c r="H1" s="903"/>
      <c r="I1" s="903"/>
      <c r="J1" s="903"/>
      <c r="K1" s="903"/>
      <c r="L1" s="903"/>
      <c r="M1" s="903"/>
      <c r="N1" s="903"/>
      <c r="O1" s="903"/>
      <c r="P1" s="903"/>
      <c r="Q1" s="903"/>
      <c r="R1" s="903"/>
      <c r="S1" s="903"/>
      <c r="T1" s="903"/>
      <c r="U1" s="903"/>
      <c r="V1" s="903"/>
      <c r="X1" s="305"/>
    </row>
    <row r="2" spans="1:24" ht="30" customHeight="1" thickBot="1">
      <c r="A2" s="57"/>
      <c r="P2" s="904"/>
      <c r="Q2" s="904"/>
      <c r="R2" s="904"/>
      <c r="S2" s="904"/>
      <c r="T2" s="904"/>
      <c r="U2" s="904"/>
      <c r="V2" s="904"/>
      <c r="W2" s="904"/>
      <c r="X2" s="904"/>
    </row>
    <row r="3" spans="1:24" ht="16.5" customHeight="1" thickBot="1">
      <c r="A3" s="59"/>
      <c r="B3" s="60"/>
      <c r="C3" s="61" t="s">
        <v>226</v>
      </c>
      <c r="D3" s="62"/>
      <c r="E3" s="62"/>
      <c r="F3" s="62"/>
      <c r="G3" s="62"/>
      <c r="H3" s="62"/>
      <c r="I3" s="62"/>
      <c r="J3" s="62"/>
      <c r="K3" s="62"/>
      <c r="L3" s="62"/>
      <c r="M3" s="62"/>
      <c r="N3" s="62"/>
      <c r="O3" s="62"/>
      <c r="P3" s="62"/>
      <c r="Q3" s="62"/>
      <c r="R3" s="62"/>
      <c r="S3" s="62"/>
      <c r="T3" s="63"/>
      <c r="U3" s="62"/>
      <c r="V3" s="63"/>
      <c r="W3" s="62"/>
      <c r="X3" s="63"/>
    </row>
    <row r="4" spans="1:24" ht="16.5" customHeight="1" thickTop="1">
      <c r="A4" s="273" t="s">
        <v>130</v>
      </c>
      <c r="B4" s="64" t="s">
        <v>56</v>
      </c>
      <c r="C4" s="933" t="s">
        <v>76</v>
      </c>
      <c r="D4" s="934"/>
      <c r="E4" s="933" t="s">
        <v>77</v>
      </c>
      <c r="F4" s="934"/>
      <c r="G4" s="933" t="s">
        <v>78</v>
      </c>
      <c r="H4" s="934"/>
      <c r="I4" s="933" t="s">
        <v>79</v>
      </c>
      <c r="J4" s="934"/>
      <c r="K4" s="933" t="s">
        <v>80</v>
      </c>
      <c r="L4" s="934"/>
      <c r="M4" s="933" t="s">
        <v>81</v>
      </c>
      <c r="N4" s="934"/>
      <c r="O4" s="933" t="s">
        <v>82</v>
      </c>
      <c r="P4" s="934"/>
      <c r="Q4" s="933" t="s">
        <v>83</v>
      </c>
      <c r="R4" s="934"/>
      <c r="S4" s="933" t="s">
        <v>347</v>
      </c>
      <c r="T4" s="934"/>
      <c r="U4" s="933" t="s">
        <v>348</v>
      </c>
      <c r="V4" s="934"/>
      <c r="W4" s="65" t="s">
        <v>59</v>
      </c>
      <c r="X4" s="132"/>
    </row>
    <row r="5" spans="1:24" ht="12" thickBot="1">
      <c r="A5" s="756" t="s">
        <v>483</v>
      </c>
      <c r="B5" s="66"/>
      <c r="C5" s="67" t="s">
        <v>74</v>
      </c>
      <c r="D5" s="68" t="s">
        <v>75</v>
      </c>
      <c r="E5" s="67" t="s">
        <v>74</v>
      </c>
      <c r="F5" s="68" t="s">
        <v>75</v>
      </c>
      <c r="G5" s="67" t="s">
        <v>74</v>
      </c>
      <c r="H5" s="68" t="s">
        <v>75</v>
      </c>
      <c r="I5" s="67" t="s">
        <v>74</v>
      </c>
      <c r="J5" s="68" t="s">
        <v>75</v>
      </c>
      <c r="K5" s="67" t="s">
        <v>74</v>
      </c>
      <c r="L5" s="68" t="s">
        <v>75</v>
      </c>
      <c r="M5" s="67" t="s">
        <v>74</v>
      </c>
      <c r="N5" s="68" t="s">
        <v>75</v>
      </c>
      <c r="O5" s="67" t="s">
        <v>74</v>
      </c>
      <c r="P5" s="68" t="s">
        <v>75</v>
      </c>
      <c r="Q5" s="67" t="s">
        <v>74</v>
      </c>
      <c r="R5" s="68" t="s">
        <v>75</v>
      </c>
      <c r="S5" s="67" t="s">
        <v>74</v>
      </c>
      <c r="T5" s="69" t="s">
        <v>75</v>
      </c>
      <c r="U5" s="67" t="s">
        <v>74</v>
      </c>
      <c r="V5" s="69" t="s">
        <v>75</v>
      </c>
      <c r="W5" s="67" t="s">
        <v>74</v>
      </c>
      <c r="X5" s="69" t="s">
        <v>75</v>
      </c>
    </row>
    <row r="6" spans="1:24" ht="12.75" customHeight="1" thickTop="1">
      <c r="A6" s="20" t="str">
        <f>'t1'!A6</f>
        <v>MAGIST.  CON FUNZ. DIRETT. APICALI GIUDICANTI DI LEGITTIMITÀ</v>
      </c>
      <c r="B6" s="226" t="str">
        <f>'t1'!B6</f>
        <v>0D0MT1</v>
      </c>
      <c r="C6" s="230"/>
      <c r="D6" s="231"/>
      <c r="E6" s="230"/>
      <c r="F6" s="231"/>
      <c r="G6" s="230"/>
      <c r="H6" s="231"/>
      <c r="I6" s="230"/>
      <c r="J6" s="231"/>
      <c r="K6" s="230"/>
      <c r="L6" s="231"/>
      <c r="M6" s="232"/>
      <c r="N6" s="233"/>
      <c r="O6" s="230"/>
      <c r="P6" s="231"/>
      <c r="Q6" s="230"/>
      <c r="R6" s="231"/>
      <c r="S6" s="234"/>
      <c r="T6" s="235"/>
      <c r="U6" s="234"/>
      <c r="V6" s="235"/>
      <c r="W6" s="441">
        <f>SUM(C6,E6,G6,I6,K6,M6,O6,Q6,S6,U6)</f>
        <v>0</v>
      </c>
      <c r="X6" s="442">
        <f>SUM(D6,F6,H6,J6,L6,N6,P6,R6,T6,V6)</f>
        <v>0</v>
      </c>
    </row>
    <row r="7" spans="1:24" ht="12.75" customHeight="1">
      <c r="A7" s="148" t="str">
        <f>'t1'!A7</f>
        <v>MAGIST. CON FUNZ. DIRETT. APICALI REQUIRENTI DI LEGITTIMITÀ</v>
      </c>
      <c r="B7" s="219" t="str">
        <f>'t1'!B7</f>
        <v>0D0MT2</v>
      </c>
      <c r="C7" s="230"/>
      <c r="D7" s="231"/>
      <c r="E7" s="230"/>
      <c r="F7" s="231"/>
      <c r="G7" s="230"/>
      <c r="H7" s="231"/>
      <c r="I7" s="230"/>
      <c r="J7" s="231"/>
      <c r="K7" s="230"/>
      <c r="L7" s="231"/>
      <c r="M7" s="232"/>
      <c r="N7" s="233"/>
      <c r="O7" s="230"/>
      <c r="P7" s="231"/>
      <c r="Q7" s="230"/>
      <c r="R7" s="231"/>
      <c r="S7" s="234"/>
      <c r="T7" s="236"/>
      <c r="U7" s="234"/>
      <c r="V7" s="236"/>
      <c r="W7" s="441">
        <f aca="true" t="shared" si="0" ref="W7:W14">SUM(C7,E7,G7,I7,K7,M7,O7,Q7,S7,U7)</f>
        <v>0</v>
      </c>
      <c r="X7" s="443">
        <f aca="true" t="shared" si="1" ref="X7:X14">SUM(D7,F7,H7,J7,L7,N7,P7,R7,T7,V7)</f>
        <v>0</v>
      </c>
    </row>
    <row r="8" spans="1:24" ht="12.75" customHeight="1">
      <c r="A8" s="148" t="str">
        <f>'t1'!A8</f>
        <v>MAGISTRATI CON FUNZIONI DIRETTIVE SUPERIORI DI LEGITTIMITÀ</v>
      </c>
      <c r="B8" s="219" t="str">
        <f>'t1'!B8</f>
        <v>0D0MT3</v>
      </c>
      <c r="C8" s="230"/>
      <c r="D8" s="231"/>
      <c r="E8" s="230"/>
      <c r="F8" s="231"/>
      <c r="G8" s="230"/>
      <c r="H8" s="231"/>
      <c r="I8" s="230"/>
      <c r="J8" s="231"/>
      <c r="K8" s="230"/>
      <c r="L8" s="231"/>
      <c r="M8" s="232"/>
      <c r="N8" s="233"/>
      <c r="O8" s="230"/>
      <c r="P8" s="231"/>
      <c r="Q8" s="230"/>
      <c r="R8" s="231"/>
      <c r="S8" s="234"/>
      <c r="T8" s="236"/>
      <c r="U8" s="234"/>
      <c r="V8" s="236"/>
      <c r="W8" s="441">
        <f t="shared" si="0"/>
        <v>0</v>
      </c>
      <c r="X8" s="443">
        <f t="shared" si="1"/>
        <v>0</v>
      </c>
    </row>
    <row r="9" spans="1:24" ht="12.75" customHeight="1">
      <c r="A9" s="148" t="str">
        <f>'t1'!A9</f>
        <v>MAGISTRATI ORDINARI VII VALUT. PROF.</v>
      </c>
      <c r="B9" s="219" t="str">
        <f>'t1'!B9</f>
        <v>0D0MT4</v>
      </c>
      <c r="C9" s="230"/>
      <c r="D9" s="231"/>
      <c r="E9" s="230"/>
      <c r="F9" s="231"/>
      <c r="G9" s="230"/>
      <c r="H9" s="231"/>
      <c r="I9" s="230"/>
      <c r="J9" s="231"/>
      <c r="K9" s="230"/>
      <c r="L9" s="231"/>
      <c r="M9" s="232"/>
      <c r="N9" s="233"/>
      <c r="O9" s="230"/>
      <c r="P9" s="231"/>
      <c r="Q9" s="230"/>
      <c r="R9" s="231"/>
      <c r="S9" s="234"/>
      <c r="T9" s="236"/>
      <c r="U9" s="234"/>
      <c r="V9" s="236"/>
      <c r="W9" s="441">
        <f t="shared" si="0"/>
        <v>0</v>
      </c>
      <c r="X9" s="443">
        <f t="shared" si="1"/>
        <v>0</v>
      </c>
    </row>
    <row r="10" spans="1:24" ht="12.75" customHeight="1">
      <c r="A10" s="148" t="str">
        <f>'t1'!A10</f>
        <v>MAGISTRATI ORDINARI V VALUT. PROF.</v>
      </c>
      <c r="B10" s="219" t="str">
        <f>'t1'!B10</f>
        <v>0D0MT5</v>
      </c>
      <c r="C10" s="230"/>
      <c r="D10" s="231"/>
      <c r="E10" s="230"/>
      <c r="F10" s="231"/>
      <c r="G10" s="230"/>
      <c r="H10" s="231"/>
      <c r="I10" s="230"/>
      <c r="J10" s="231"/>
      <c r="K10" s="230"/>
      <c r="L10" s="231"/>
      <c r="M10" s="232"/>
      <c r="N10" s="233"/>
      <c r="O10" s="230"/>
      <c r="P10" s="231"/>
      <c r="Q10" s="230"/>
      <c r="R10" s="231"/>
      <c r="S10" s="234"/>
      <c r="T10" s="236"/>
      <c r="U10" s="234"/>
      <c r="V10" s="236"/>
      <c r="W10" s="441">
        <f t="shared" si="0"/>
        <v>0</v>
      </c>
      <c r="X10" s="443">
        <f t="shared" si="1"/>
        <v>0</v>
      </c>
    </row>
    <row r="11" spans="1:24" ht="12.75" customHeight="1">
      <c r="A11" s="148" t="str">
        <f>'t1'!A11</f>
        <v>MAGISTRATI ORDINARI DOPO 1 ANNO DALLA III VALUT. PROF.</v>
      </c>
      <c r="B11" s="219" t="str">
        <f>'t1'!B11</f>
        <v>0D0MT6</v>
      </c>
      <c r="C11" s="230"/>
      <c r="D11" s="231"/>
      <c r="E11" s="230"/>
      <c r="F11" s="231"/>
      <c r="G11" s="230"/>
      <c r="H11" s="231"/>
      <c r="I11" s="230"/>
      <c r="J11" s="231"/>
      <c r="K11" s="230"/>
      <c r="L11" s="231"/>
      <c r="M11" s="232"/>
      <c r="N11" s="233"/>
      <c r="O11" s="230"/>
      <c r="P11" s="231"/>
      <c r="Q11" s="230"/>
      <c r="R11" s="231"/>
      <c r="S11" s="234"/>
      <c r="T11" s="236"/>
      <c r="U11" s="234"/>
      <c r="V11" s="236"/>
      <c r="W11" s="441">
        <f t="shared" si="0"/>
        <v>0</v>
      </c>
      <c r="X11" s="443">
        <f t="shared" si="1"/>
        <v>0</v>
      </c>
    </row>
    <row r="12" spans="1:24" ht="12.75" customHeight="1">
      <c r="A12" s="148" t="str">
        <f>'t1'!A12</f>
        <v>MAGISTRATI ORDINARI  I  VALUT. PROF.</v>
      </c>
      <c r="B12" s="219" t="str">
        <f>'t1'!B12</f>
        <v>0D0MT7</v>
      </c>
      <c r="C12" s="230"/>
      <c r="D12" s="231"/>
      <c r="E12" s="230"/>
      <c r="F12" s="231"/>
      <c r="G12" s="230"/>
      <c r="H12" s="231"/>
      <c r="I12" s="230"/>
      <c r="J12" s="231"/>
      <c r="K12" s="230"/>
      <c r="L12" s="231"/>
      <c r="M12" s="232"/>
      <c r="N12" s="233"/>
      <c r="O12" s="230"/>
      <c r="P12" s="231"/>
      <c r="Q12" s="230"/>
      <c r="R12" s="231"/>
      <c r="S12" s="234"/>
      <c r="T12" s="236"/>
      <c r="U12" s="234"/>
      <c r="V12" s="236"/>
      <c r="W12" s="441">
        <f t="shared" si="0"/>
        <v>0</v>
      </c>
      <c r="X12" s="443">
        <f t="shared" si="1"/>
        <v>0</v>
      </c>
    </row>
    <row r="13" spans="1:24" ht="12.75" customHeight="1">
      <c r="A13" s="148" t="str">
        <f>'t1'!A13</f>
        <v>MAGISTRATI ORDINARI</v>
      </c>
      <c r="B13" s="219" t="str">
        <f>'t1'!B13</f>
        <v>0D0MT8</v>
      </c>
      <c r="C13" s="230"/>
      <c r="D13" s="231"/>
      <c r="E13" s="230"/>
      <c r="F13" s="231"/>
      <c r="G13" s="230"/>
      <c r="H13" s="231"/>
      <c r="I13" s="230"/>
      <c r="J13" s="231"/>
      <c r="K13" s="230"/>
      <c r="L13" s="231"/>
      <c r="M13" s="232"/>
      <c r="N13" s="233"/>
      <c r="O13" s="230"/>
      <c r="P13" s="231"/>
      <c r="Q13" s="230"/>
      <c r="R13" s="231"/>
      <c r="S13" s="234"/>
      <c r="T13" s="236"/>
      <c r="U13" s="234"/>
      <c r="V13" s="236"/>
      <c r="W13" s="441">
        <f t="shared" si="0"/>
        <v>0</v>
      </c>
      <c r="X13" s="443">
        <f t="shared" si="1"/>
        <v>0</v>
      </c>
    </row>
    <row r="14" spans="1:24" ht="12.75" customHeight="1" thickBot="1">
      <c r="A14" s="148" t="str">
        <f>'t1'!A14</f>
        <v>MAGISTRATI ORDINARI IN TIROCINIO</v>
      </c>
      <c r="B14" s="219" t="str">
        <f>'t1'!B14</f>
        <v>0D0MT9</v>
      </c>
      <c r="C14" s="230"/>
      <c r="D14" s="231"/>
      <c r="E14" s="230"/>
      <c r="F14" s="231"/>
      <c r="G14" s="230"/>
      <c r="H14" s="231"/>
      <c r="I14" s="230"/>
      <c r="J14" s="231"/>
      <c r="K14" s="230"/>
      <c r="L14" s="231"/>
      <c r="M14" s="232"/>
      <c r="N14" s="233"/>
      <c r="O14" s="230"/>
      <c r="P14" s="231"/>
      <c r="Q14" s="230"/>
      <c r="R14" s="231"/>
      <c r="S14" s="234"/>
      <c r="T14" s="236"/>
      <c r="U14" s="234"/>
      <c r="V14" s="236"/>
      <c r="W14" s="441">
        <f t="shared" si="0"/>
        <v>0</v>
      </c>
      <c r="X14" s="443">
        <f t="shared" si="1"/>
        <v>0</v>
      </c>
    </row>
    <row r="15" spans="1:24" ht="17.25" customHeight="1" thickBot="1" thickTop="1">
      <c r="A15" s="70" t="s">
        <v>59</v>
      </c>
      <c r="B15" s="71"/>
      <c r="C15" s="438">
        <f aca="true" t="shared" si="2" ref="C15:X15">SUM(C6:C14)</f>
        <v>0</v>
      </c>
      <c r="D15" s="439">
        <f t="shared" si="2"/>
        <v>0</v>
      </c>
      <c r="E15" s="438">
        <f t="shared" si="2"/>
        <v>0</v>
      </c>
      <c r="F15" s="439">
        <f t="shared" si="2"/>
        <v>0</v>
      </c>
      <c r="G15" s="438">
        <f t="shared" si="2"/>
        <v>0</v>
      </c>
      <c r="H15" s="439">
        <f t="shared" si="2"/>
        <v>0</v>
      </c>
      <c r="I15" s="438">
        <f t="shared" si="2"/>
        <v>0</v>
      </c>
      <c r="J15" s="439">
        <f t="shared" si="2"/>
        <v>0</v>
      </c>
      <c r="K15" s="438">
        <f t="shared" si="2"/>
        <v>0</v>
      </c>
      <c r="L15" s="439">
        <f t="shared" si="2"/>
        <v>0</v>
      </c>
      <c r="M15" s="438">
        <f t="shared" si="2"/>
        <v>0</v>
      </c>
      <c r="N15" s="439">
        <f t="shared" si="2"/>
        <v>0</v>
      </c>
      <c r="O15" s="438">
        <f t="shared" si="2"/>
        <v>0</v>
      </c>
      <c r="P15" s="439">
        <f t="shared" si="2"/>
        <v>0</v>
      </c>
      <c r="Q15" s="438">
        <f t="shared" si="2"/>
        <v>0</v>
      </c>
      <c r="R15" s="439">
        <f t="shared" si="2"/>
        <v>0</v>
      </c>
      <c r="S15" s="438">
        <f t="shared" si="2"/>
        <v>0</v>
      </c>
      <c r="T15" s="439">
        <f t="shared" si="2"/>
        <v>0</v>
      </c>
      <c r="U15" s="438">
        <f t="shared" si="2"/>
        <v>0</v>
      </c>
      <c r="V15" s="439">
        <f t="shared" si="2"/>
        <v>0</v>
      </c>
      <c r="W15" s="438">
        <f t="shared" si="2"/>
        <v>0</v>
      </c>
      <c r="X15" s="440">
        <f t="shared" si="2"/>
        <v>0</v>
      </c>
    </row>
    <row r="16" spans="1:11" s="41" customFormat="1" ht="19.5" customHeight="1">
      <c r="A16" s="21"/>
      <c r="B16" s="7"/>
      <c r="C16" s="5"/>
      <c r="D16" s="5"/>
      <c r="E16" s="5"/>
      <c r="F16" s="5"/>
      <c r="G16" s="5"/>
      <c r="H16" s="5"/>
      <c r="I16" s="5"/>
      <c r="J16" s="5"/>
      <c r="K16" s="76"/>
    </row>
    <row r="17" spans="1:2" s="5" customFormat="1" ht="11.25">
      <c r="A17" s="21"/>
      <c r="B17" s="7"/>
    </row>
  </sheetData>
  <sheetProtection password="EA98" sheet="1" formatColumns="0" selectLockedCells="1"/>
  <mergeCells count="12">
    <mergeCell ref="U4:V4"/>
    <mergeCell ref="K4:L4"/>
    <mergeCell ref="S4:T4"/>
    <mergeCell ref="M4:N4"/>
    <mergeCell ref="O4:P4"/>
    <mergeCell ref="Q4:R4"/>
    <mergeCell ref="A1:V1"/>
    <mergeCell ref="C4:D4"/>
    <mergeCell ref="E4:F4"/>
    <mergeCell ref="G4:H4"/>
    <mergeCell ref="I4:J4"/>
    <mergeCell ref="P2:X2"/>
  </mergeCells>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B18"/>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64.16015625" style="41" customWidth="1"/>
    <col min="2" max="2" width="9.33203125" style="43" customWidth="1"/>
    <col min="3" max="4" width="6.66015625" style="41" customWidth="1"/>
    <col min="5" max="24" width="8" style="41" customWidth="1"/>
    <col min="25" max="26" width="6.5" style="41" customWidth="1"/>
    <col min="27" max="28" width="8.16015625" style="41" customWidth="1"/>
    <col min="29" max="16384" width="10.66015625" style="41" customWidth="1"/>
  </cols>
  <sheetData>
    <row r="1" spans="1:28" s="5" customFormat="1" ht="43.5" customHeight="1">
      <c r="A1" s="903" t="str">
        <f>'t1'!A1</f>
        <v>MAGISTRATURA ORDINARIA - anno 2019</v>
      </c>
      <c r="B1" s="903"/>
      <c r="C1" s="903"/>
      <c r="D1" s="903"/>
      <c r="E1" s="903"/>
      <c r="F1" s="903"/>
      <c r="G1" s="903"/>
      <c r="H1" s="903"/>
      <c r="I1" s="903"/>
      <c r="J1" s="903"/>
      <c r="K1" s="903"/>
      <c r="L1" s="903"/>
      <c r="M1" s="903"/>
      <c r="N1" s="903"/>
      <c r="O1" s="903"/>
      <c r="P1" s="903"/>
      <c r="Q1" s="903"/>
      <c r="R1" s="903"/>
      <c r="S1" s="903"/>
      <c r="T1" s="903"/>
      <c r="U1" s="903"/>
      <c r="V1" s="903"/>
      <c r="W1" s="903"/>
      <c r="X1" s="903"/>
      <c r="Y1" s="903"/>
      <c r="AB1" s="305"/>
    </row>
    <row r="2" spans="1:28" ht="30" customHeight="1" thickBot="1">
      <c r="A2" s="42"/>
      <c r="S2" s="904"/>
      <c r="T2" s="904"/>
      <c r="U2" s="904"/>
      <c r="V2" s="904"/>
      <c r="W2" s="904"/>
      <c r="X2" s="904"/>
      <c r="Y2" s="904"/>
      <c r="Z2" s="904"/>
      <c r="AA2" s="904"/>
      <c r="AB2" s="904"/>
    </row>
    <row r="3" spans="1:28" ht="16.5" customHeight="1" thickBot="1">
      <c r="A3" s="44"/>
      <c r="B3" s="45"/>
      <c r="C3" s="46" t="s">
        <v>227</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72" t="s">
        <v>123</v>
      </c>
      <c r="B4" s="49" t="s">
        <v>56</v>
      </c>
      <c r="C4" s="935" t="s">
        <v>157</v>
      </c>
      <c r="D4" s="937"/>
      <c r="E4" s="160" t="s">
        <v>158</v>
      </c>
      <c r="F4" s="159"/>
      <c r="G4" s="935" t="s">
        <v>66</v>
      </c>
      <c r="H4" s="937"/>
      <c r="I4" s="935" t="s">
        <v>67</v>
      </c>
      <c r="J4" s="937"/>
      <c r="K4" s="935" t="s">
        <v>68</v>
      </c>
      <c r="L4" s="937"/>
      <c r="M4" s="935" t="s">
        <v>69</v>
      </c>
      <c r="N4" s="937"/>
      <c r="O4" s="935" t="s">
        <v>70</v>
      </c>
      <c r="P4" s="937"/>
      <c r="Q4" s="935" t="s">
        <v>71</v>
      </c>
      <c r="R4" s="937"/>
      <c r="S4" s="935" t="s">
        <v>72</v>
      </c>
      <c r="T4" s="937"/>
      <c r="U4" s="935" t="s">
        <v>73</v>
      </c>
      <c r="V4" s="937"/>
      <c r="W4" s="935" t="s">
        <v>349</v>
      </c>
      <c r="X4" s="937"/>
      <c r="Y4" s="935" t="s">
        <v>350</v>
      </c>
      <c r="Z4" s="936"/>
      <c r="AA4" s="935" t="s">
        <v>59</v>
      </c>
      <c r="AB4" s="936"/>
    </row>
    <row r="5" spans="1:28" ht="12" thickBot="1">
      <c r="A5" s="757" t="s">
        <v>483</v>
      </c>
      <c r="B5" s="50"/>
      <c r="C5" s="51" t="s">
        <v>74</v>
      </c>
      <c r="D5" s="52" t="s">
        <v>75</v>
      </c>
      <c r="E5" s="51" t="s">
        <v>74</v>
      </c>
      <c r="F5" s="52" t="s">
        <v>75</v>
      </c>
      <c r="G5" s="51" t="s">
        <v>74</v>
      </c>
      <c r="H5" s="52" t="s">
        <v>75</v>
      </c>
      <c r="I5" s="51" t="s">
        <v>74</v>
      </c>
      <c r="J5" s="52" t="s">
        <v>75</v>
      </c>
      <c r="K5" s="51" t="s">
        <v>74</v>
      </c>
      <c r="L5" s="52" t="s">
        <v>75</v>
      </c>
      <c r="M5" s="51" t="s">
        <v>74</v>
      </c>
      <c r="N5" s="52" t="s">
        <v>75</v>
      </c>
      <c r="O5" s="51" t="s">
        <v>74</v>
      </c>
      <c r="P5" s="52" t="s">
        <v>75</v>
      </c>
      <c r="Q5" s="51" t="s">
        <v>74</v>
      </c>
      <c r="R5" s="52" t="s">
        <v>75</v>
      </c>
      <c r="S5" s="51" t="s">
        <v>74</v>
      </c>
      <c r="T5" s="52" t="s">
        <v>75</v>
      </c>
      <c r="U5" s="51" t="s">
        <v>74</v>
      </c>
      <c r="V5" s="52" t="s">
        <v>75</v>
      </c>
      <c r="W5" s="51" t="s">
        <v>74</v>
      </c>
      <c r="X5" s="53" t="s">
        <v>75</v>
      </c>
      <c r="Y5" s="51" t="s">
        <v>74</v>
      </c>
      <c r="Z5" s="53" t="s">
        <v>75</v>
      </c>
      <c r="AA5" s="51" t="s">
        <v>74</v>
      </c>
      <c r="AB5" s="53" t="s">
        <v>75</v>
      </c>
    </row>
    <row r="6" spans="1:28" ht="13.5" customHeight="1" thickTop="1">
      <c r="A6" s="20" t="str">
        <f>'t1'!A6</f>
        <v>MAGIST.  CON FUNZ. DIRETT. APICALI GIUDICANTI DI LEGITTIMITÀ</v>
      </c>
      <c r="B6" s="226" t="str">
        <f>'t1'!B6</f>
        <v>0D0MT1</v>
      </c>
      <c r="C6" s="248"/>
      <c r="D6" s="249"/>
      <c r="E6" s="250"/>
      <c r="F6" s="249"/>
      <c r="G6" s="248"/>
      <c r="H6" s="249"/>
      <c r="I6" s="248"/>
      <c r="J6" s="249"/>
      <c r="K6" s="248"/>
      <c r="L6" s="249"/>
      <c r="M6" s="248"/>
      <c r="N6" s="249"/>
      <c r="O6" s="250"/>
      <c r="P6" s="251"/>
      <c r="Q6" s="248"/>
      <c r="R6" s="249"/>
      <c r="S6" s="248"/>
      <c r="T6" s="249"/>
      <c r="U6" s="248"/>
      <c r="V6" s="249"/>
      <c r="W6" s="252"/>
      <c r="X6" s="253"/>
      <c r="Y6" s="252"/>
      <c r="Z6" s="253"/>
      <c r="AA6" s="444">
        <f>SUM(C6,E6,G6,I6,K6,M6,O6,Q6,S6,U6,W6,Y6)</f>
        <v>0</v>
      </c>
      <c r="AB6" s="445">
        <f>SUM(D6,F6,H6,J6,L6,N6,P6,R6,T6,V6,X6,Z6)</f>
        <v>0</v>
      </c>
    </row>
    <row r="7" spans="1:28" ht="13.5" customHeight="1">
      <c r="A7" s="148" t="str">
        <f>'t1'!A7</f>
        <v>MAGIST. CON FUNZ. DIRETT. APICALI REQUIRENTI DI LEGITTIMITÀ</v>
      </c>
      <c r="B7" s="219" t="str">
        <f>'t1'!B7</f>
        <v>0D0MT2</v>
      </c>
      <c r="C7" s="248"/>
      <c r="D7" s="249"/>
      <c r="E7" s="250"/>
      <c r="F7" s="249"/>
      <c r="G7" s="248"/>
      <c r="H7" s="249"/>
      <c r="I7" s="248"/>
      <c r="J7" s="249"/>
      <c r="K7" s="248"/>
      <c r="L7" s="249"/>
      <c r="M7" s="248"/>
      <c r="N7" s="249"/>
      <c r="O7" s="250"/>
      <c r="P7" s="251"/>
      <c r="Q7" s="248"/>
      <c r="R7" s="249"/>
      <c r="S7" s="248"/>
      <c r="T7" s="249"/>
      <c r="U7" s="248"/>
      <c r="V7" s="249"/>
      <c r="W7" s="252"/>
      <c r="X7" s="249"/>
      <c r="Y7" s="252"/>
      <c r="Z7" s="249"/>
      <c r="AA7" s="446">
        <f aca="true" t="shared" si="0" ref="AA7:AA14">SUM(C7,E7,G7,I7,K7,M7,O7,Q7,S7,U7,W7,Y7)</f>
        <v>0</v>
      </c>
      <c r="AB7" s="447">
        <f aca="true" t="shared" si="1" ref="AB7:AB14">SUM(D7,F7,H7,J7,L7,N7,P7,R7,T7,V7,X7,Z7)</f>
        <v>0</v>
      </c>
    </row>
    <row r="8" spans="1:28" ht="13.5" customHeight="1">
      <c r="A8" s="148" t="str">
        <f>'t1'!A8</f>
        <v>MAGISTRATI CON FUNZIONI DIRETTIVE SUPERIORI DI LEGITTIMITÀ</v>
      </c>
      <c r="B8" s="219" t="str">
        <f>'t1'!B8</f>
        <v>0D0MT3</v>
      </c>
      <c r="C8" s="248"/>
      <c r="D8" s="249"/>
      <c r="E8" s="250"/>
      <c r="F8" s="249"/>
      <c r="G8" s="248"/>
      <c r="H8" s="249"/>
      <c r="I8" s="248"/>
      <c r="J8" s="249"/>
      <c r="K8" s="248"/>
      <c r="L8" s="249"/>
      <c r="M8" s="248"/>
      <c r="N8" s="249"/>
      <c r="O8" s="250"/>
      <c r="P8" s="251"/>
      <c r="Q8" s="248"/>
      <c r="R8" s="249"/>
      <c r="S8" s="248"/>
      <c r="T8" s="249"/>
      <c r="U8" s="248"/>
      <c r="V8" s="249"/>
      <c r="W8" s="252"/>
      <c r="X8" s="249"/>
      <c r="Y8" s="252"/>
      <c r="Z8" s="249"/>
      <c r="AA8" s="446">
        <f t="shared" si="0"/>
        <v>0</v>
      </c>
      <c r="AB8" s="447">
        <f t="shared" si="1"/>
        <v>0</v>
      </c>
    </row>
    <row r="9" spans="1:28" ht="13.5" customHeight="1">
      <c r="A9" s="148" t="str">
        <f>'t1'!A9</f>
        <v>MAGISTRATI ORDINARI VII VALUT. PROF.</v>
      </c>
      <c r="B9" s="219" t="str">
        <f>'t1'!B9</f>
        <v>0D0MT4</v>
      </c>
      <c r="C9" s="248"/>
      <c r="D9" s="249"/>
      <c r="E9" s="250"/>
      <c r="F9" s="249"/>
      <c r="G9" s="248"/>
      <c r="H9" s="249"/>
      <c r="I9" s="248"/>
      <c r="J9" s="249"/>
      <c r="K9" s="248"/>
      <c r="L9" s="249"/>
      <c r="M9" s="248"/>
      <c r="N9" s="249"/>
      <c r="O9" s="250"/>
      <c r="P9" s="251"/>
      <c r="Q9" s="248"/>
      <c r="R9" s="249"/>
      <c r="S9" s="248"/>
      <c r="T9" s="249"/>
      <c r="U9" s="248"/>
      <c r="V9" s="249"/>
      <c r="W9" s="252"/>
      <c r="X9" s="249"/>
      <c r="Y9" s="252"/>
      <c r="Z9" s="249"/>
      <c r="AA9" s="446">
        <f t="shared" si="0"/>
        <v>0</v>
      </c>
      <c r="AB9" s="447">
        <f t="shared" si="1"/>
        <v>0</v>
      </c>
    </row>
    <row r="10" spans="1:28" ht="13.5" customHeight="1">
      <c r="A10" s="148" t="str">
        <f>'t1'!A10</f>
        <v>MAGISTRATI ORDINARI V VALUT. PROF.</v>
      </c>
      <c r="B10" s="219" t="str">
        <f>'t1'!B10</f>
        <v>0D0MT5</v>
      </c>
      <c r="C10" s="248"/>
      <c r="D10" s="249"/>
      <c r="E10" s="250"/>
      <c r="F10" s="249"/>
      <c r="G10" s="248"/>
      <c r="H10" s="249"/>
      <c r="I10" s="248"/>
      <c r="J10" s="249"/>
      <c r="K10" s="248"/>
      <c r="L10" s="249"/>
      <c r="M10" s="248"/>
      <c r="N10" s="249"/>
      <c r="O10" s="250"/>
      <c r="P10" s="251"/>
      <c r="Q10" s="248"/>
      <c r="R10" s="249"/>
      <c r="S10" s="248"/>
      <c r="T10" s="249"/>
      <c r="U10" s="248"/>
      <c r="V10" s="249"/>
      <c r="W10" s="252"/>
      <c r="X10" s="249"/>
      <c r="Y10" s="252"/>
      <c r="Z10" s="249"/>
      <c r="AA10" s="446">
        <f t="shared" si="0"/>
        <v>0</v>
      </c>
      <c r="AB10" s="447">
        <f t="shared" si="1"/>
        <v>0</v>
      </c>
    </row>
    <row r="11" spans="1:28" ht="13.5" customHeight="1">
      <c r="A11" s="148" t="str">
        <f>'t1'!A11</f>
        <v>MAGISTRATI ORDINARI DOPO 1 ANNO DALLA III VALUT. PROF.</v>
      </c>
      <c r="B11" s="219" t="str">
        <f>'t1'!B11</f>
        <v>0D0MT6</v>
      </c>
      <c r="C11" s="248"/>
      <c r="D11" s="249"/>
      <c r="E11" s="250"/>
      <c r="F11" s="249"/>
      <c r="G11" s="248"/>
      <c r="H11" s="249"/>
      <c r="I11" s="248"/>
      <c r="J11" s="249"/>
      <c r="K11" s="248"/>
      <c r="L11" s="249"/>
      <c r="M11" s="248"/>
      <c r="N11" s="249"/>
      <c r="O11" s="250"/>
      <c r="P11" s="251"/>
      <c r="Q11" s="248"/>
      <c r="R11" s="249"/>
      <c r="S11" s="248"/>
      <c r="T11" s="249"/>
      <c r="U11" s="248"/>
      <c r="V11" s="249"/>
      <c r="W11" s="252"/>
      <c r="X11" s="249"/>
      <c r="Y11" s="252"/>
      <c r="Z11" s="249"/>
      <c r="AA11" s="446">
        <f t="shared" si="0"/>
        <v>0</v>
      </c>
      <c r="AB11" s="447">
        <f t="shared" si="1"/>
        <v>0</v>
      </c>
    </row>
    <row r="12" spans="1:28" ht="13.5" customHeight="1">
      <c r="A12" s="148" t="str">
        <f>'t1'!A12</f>
        <v>MAGISTRATI ORDINARI  I  VALUT. PROF.</v>
      </c>
      <c r="B12" s="219" t="str">
        <f>'t1'!B12</f>
        <v>0D0MT7</v>
      </c>
      <c r="C12" s="248"/>
      <c r="D12" s="249"/>
      <c r="E12" s="250"/>
      <c r="F12" s="249"/>
      <c r="G12" s="248"/>
      <c r="H12" s="249"/>
      <c r="I12" s="248"/>
      <c r="J12" s="249"/>
      <c r="K12" s="248"/>
      <c r="L12" s="249"/>
      <c r="M12" s="248"/>
      <c r="N12" s="249"/>
      <c r="O12" s="250"/>
      <c r="P12" s="251"/>
      <c r="Q12" s="248"/>
      <c r="R12" s="249"/>
      <c r="S12" s="248"/>
      <c r="T12" s="249"/>
      <c r="U12" s="248"/>
      <c r="V12" s="249"/>
      <c r="W12" s="252"/>
      <c r="X12" s="249"/>
      <c r="Y12" s="252"/>
      <c r="Z12" s="249"/>
      <c r="AA12" s="446">
        <f t="shared" si="0"/>
        <v>0</v>
      </c>
      <c r="AB12" s="447">
        <f t="shared" si="1"/>
        <v>0</v>
      </c>
    </row>
    <row r="13" spans="1:28" ht="13.5" customHeight="1">
      <c r="A13" s="148" t="str">
        <f>'t1'!A13</f>
        <v>MAGISTRATI ORDINARI</v>
      </c>
      <c r="B13" s="219" t="str">
        <f>'t1'!B13</f>
        <v>0D0MT8</v>
      </c>
      <c r="C13" s="248"/>
      <c r="D13" s="249"/>
      <c r="E13" s="250"/>
      <c r="F13" s="249"/>
      <c r="G13" s="248"/>
      <c r="H13" s="249"/>
      <c r="I13" s="248"/>
      <c r="J13" s="249"/>
      <c r="K13" s="248"/>
      <c r="L13" s="249"/>
      <c r="M13" s="248"/>
      <c r="N13" s="249"/>
      <c r="O13" s="250"/>
      <c r="P13" s="251"/>
      <c r="Q13" s="248"/>
      <c r="R13" s="249"/>
      <c r="S13" s="248"/>
      <c r="T13" s="249"/>
      <c r="U13" s="248"/>
      <c r="V13" s="249"/>
      <c r="W13" s="252"/>
      <c r="X13" s="249"/>
      <c r="Y13" s="252"/>
      <c r="Z13" s="249"/>
      <c r="AA13" s="446">
        <f t="shared" si="0"/>
        <v>0</v>
      </c>
      <c r="AB13" s="447">
        <f t="shared" si="1"/>
        <v>0</v>
      </c>
    </row>
    <row r="14" spans="1:28" ht="13.5" customHeight="1" thickBot="1">
      <c r="A14" s="148" t="str">
        <f>'t1'!A14</f>
        <v>MAGISTRATI ORDINARI IN TIROCINIO</v>
      </c>
      <c r="B14" s="219" t="str">
        <f>'t1'!B14</f>
        <v>0D0MT9</v>
      </c>
      <c r="C14" s="248"/>
      <c r="D14" s="249"/>
      <c r="E14" s="250"/>
      <c r="F14" s="249"/>
      <c r="G14" s="248"/>
      <c r="H14" s="249"/>
      <c r="I14" s="248"/>
      <c r="J14" s="249"/>
      <c r="K14" s="248"/>
      <c r="L14" s="249"/>
      <c r="M14" s="248"/>
      <c r="N14" s="249"/>
      <c r="O14" s="250"/>
      <c r="P14" s="251"/>
      <c r="Q14" s="248"/>
      <c r="R14" s="249"/>
      <c r="S14" s="248"/>
      <c r="T14" s="249"/>
      <c r="U14" s="248"/>
      <c r="V14" s="249"/>
      <c r="W14" s="252"/>
      <c r="X14" s="249"/>
      <c r="Y14" s="252"/>
      <c r="Z14" s="249"/>
      <c r="AA14" s="446">
        <f t="shared" si="0"/>
        <v>0</v>
      </c>
      <c r="AB14" s="447">
        <f t="shared" si="1"/>
        <v>0</v>
      </c>
    </row>
    <row r="15" spans="1:28" ht="16.5" customHeight="1" thickBot="1" thickTop="1">
      <c r="A15" s="54" t="s">
        <v>59</v>
      </c>
      <c r="B15" s="55"/>
      <c r="C15" s="448">
        <f aca="true" t="shared" si="2" ref="C15:AB15">SUM(C6:C14)</f>
        <v>0</v>
      </c>
      <c r="D15" s="450">
        <f t="shared" si="2"/>
        <v>0</v>
      </c>
      <c r="E15" s="448">
        <f t="shared" si="2"/>
        <v>0</v>
      </c>
      <c r="F15" s="450">
        <f t="shared" si="2"/>
        <v>0</v>
      </c>
      <c r="G15" s="448">
        <f t="shared" si="2"/>
        <v>0</v>
      </c>
      <c r="H15" s="450">
        <f t="shared" si="2"/>
        <v>0</v>
      </c>
      <c r="I15" s="448">
        <f t="shared" si="2"/>
        <v>0</v>
      </c>
      <c r="J15" s="450">
        <f t="shared" si="2"/>
        <v>0</v>
      </c>
      <c r="K15" s="448">
        <f t="shared" si="2"/>
        <v>0</v>
      </c>
      <c r="L15" s="450">
        <f t="shared" si="2"/>
        <v>0</v>
      </c>
      <c r="M15" s="448">
        <f t="shared" si="2"/>
        <v>0</v>
      </c>
      <c r="N15" s="450">
        <f t="shared" si="2"/>
        <v>0</v>
      </c>
      <c r="O15" s="448">
        <f t="shared" si="2"/>
        <v>0</v>
      </c>
      <c r="P15" s="450">
        <f t="shared" si="2"/>
        <v>0</v>
      </c>
      <c r="Q15" s="448">
        <f t="shared" si="2"/>
        <v>0</v>
      </c>
      <c r="R15" s="450">
        <f t="shared" si="2"/>
        <v>0</v>
      </c>
      <c r="S15" s="448">
        <f t="shared" si="2"/>
        <v>0</v>
      </c>
      <c r="T15" s="450">
        <f t="shared" si="2"/>
        <v>0</v>
      </c>
      <c r="U15" s="448">
        <f t="shared" si="2"/>
        <v>0</v>
      </c>
      <c r="V15" s="450">
        <f t="shared" si="2"/>
        <v>0</v>
      </c>
      <c r="W15" s="448">
        <f t="shared" si="2"/>
        <v>0</v>
      </c>
      <c r="X15" s="450">
        <f t="shared" si="2"/>
        <v>0</v>
      </c>
      <c r="Y15" s="448">
        <f t="shared" si="2"/>
        <v>0</v>
      </c>
      <c r="Z15" s="450">
        <f t="shared" si="2"/>
        <v>0</v>
      </c>
      <c r="AA15" s="448">
        <f t="shared" si="2"/>
        <v>0</v>
      </c>
      <c r="AB15" s="449">
        <f t="shared" si="2"/>
        <v>0</v>
      </c>
    </row>
    <row r="16" spans="1:28" ht="8.25" customHeight="1">
      <c r="A16" s="151"/>
      <c r="B16" s="152"/>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row>
    <row r="17" spans="1:13" ht="11.25">
      <c r="A17" s="21"/>
      <c r="B17" s="7"/>
      <c r="C17" s="5"/>
      <c r="D17" s="5"/>
      <c r="E17" s="5"/>
      <c r="F17" s="5"/>
      <c r="G17" s="5"/>
      <c r="H17" s="5"/>
      <c r="I17" s="5"/>
      <c r="J17" s="5"/>
      <c r="K17" s="5"/>
      <c r="L17" s="5"/>
      <c r="M17" s="76"/>
    </row>
    <row r="18" spans="1:2" s="5" customFormat="1" ht="11.25">
      <c r="A18" s="21"/>
      <c r="B18"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1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60.5" style="31" customWidth="1"/>
    <col min="2" max="2" width="10.83203125" style="31" customWidth="1"/>
    <col min="3" max="16" width="13.66015625" style="31" customWidth="1"/>
    <col min="17" max="16384" width="10.66015625" style="31" customWidth="1"/>
  </cols>
  <sheetData>
    <row r="1" spans="1:17" s="5" customFormat="1" ht="43.5" customHeight="1">
      <c r="A1" s="903" t="str">
        <f>'t1'!A1</f>
        <v>MAGISTRATURA ORDINARIA - anno 2019</v>
      </c>
      <c r="B1" s="903"/>
      <c r="C1" s="903"/>
      <c r="D1" s="903"/>
      <c r="E1" s="903"/>
      <c r="F1" s="903"/>
      <c r="G1" s="903"/>
      <c r="H1" s="903"/>
      <c r="I1" s="903"/>
      <c r="J1" s="903"/>
      <c r="K1" s="903"/>
      <c r="L1" s="903"/>
      <c r="M1" s="903"/>
      <c r="N1" s="903"/>
      <c r="O1" s="3"/>
      <c r="P1" s="305"/>
      <c r="Q1"/>
    </row>
    <row r="2" spans="1:17" s="5" customFormat="1" ht="5.25" customHeight="1">
      <c r="A2" s="340"/>
      <c r="B2" s="340"/>
      <c r="C2" s="340"/>
      <c r="D2" s="340"/>
      <c r="E2" s="340"/>
      <c r="F2" s="340"/>
      <c r="G2" s="340"/>
      <c r="H2" s="340"/>
      <c r="I2" s="340"/>
      <c r="J2" s="340"/>
      <c r="K2" s="340"/>
      <c r="L2" s="340"/>
      <c r="M2" s="340"/>
      <c r="N2" s="340"/>
      <c r="O2" s="3"/>
      <c r="P2" s="305"/>
      <c r="Q2"/>
    </row>
    <row r="3" spans="13:16" ht="30" customHeight="1" thickBot="1">
      <c r="M3" s="904"/>
      <c r="N3" s="904"/>
      <c r="O3" s="904"/>
      <c r="P3" s="904"/>
    </row>
    <row r="4" spans="1:16" ht="24.75" customHeight="1">
      <c r="A4" s="271" t="s">
        <v>123</v>
      </c>
      <c r="B4" s="254" t="s">
        <v>56</v>
      </c>
      <c r="C4" s="32" t="s">
        <v>63</v>
      </c>
      <c r="D4" s="33"/>
      <c r="E4" s="32" t="s">
        <v>64</v>
      </c>
      <c r="F4" s="33"/>
      <c r="G4" s="938" t="s">
        <v>51</v>
      </c>
      <c r="H4" s="939"/>
      <c r="I4" s="938" t="s">
        <v>65</v>
      </c>
      <c r="J4" s="939"/>
      <c r="K4" s="938" t="s">
        <v>52</v>
      </c>
      <c r="L4" s="939"/>
      <c r="M4" s="938" t="s">
        <v>53</v>
      </c>
      <c r="N4" s="939"/>
      <c r="O4" s="510" t="s">
        <v>59</v>
      </c>
      <c r="P4" s="511"/>
    </row>
    <row r="5" spans="1:16" ht="14.25" customHeight="1" thickBot="1">
      <c r="A5" s="758" t="s">
        <v>483</v>
      </c>
      <c r="B5" s="34"/>
      <c r="C5" s="35" t="s">
        <v>57</v>
      </c>
      <c r="D5" s="36" t="s">
        <v>58</v>
      </c>
      <c r="E5" s="35" t="s">
        <v>57</v>
      </c>
      <c r="F5" s="36" t="s">
        <v>58</v>
      </c>
      <c r="G5" s="35" t="s">
        <v>57</v>
      </c>
      <c r="H5" s="37" t="s">
        <v>58</v>
      </c>
      <c r="I5" s="35" t="s">
        <v>57</v>
      </c>
      <c r="J5" s="37" t="s">
        <v>58</v>
      </c>
      <c r="K5" s="35" t="s">
        <v>57</v>
      </c>
      <c r="L5" s="38" t="s">
        <v>58</v>
      </c>
      <c r="M5" s="35" t="s">
        <v>57</v>
      </c>
      <c r="N5" s="38" t="s">
        <v>58</v>
      </c>
      <c r="O5" s="513" t="s">
        <v>57</v>
      </c>
      <c r="P5" s="514" t="s">
        <v>58</v>
      </c>
    </row>
    <row r="6" spans="1:16" ht="13.5" customHeight="1" thickTop="1">
      <c r="A6" s="20" t="str">
        <f>'t1'!A6</f>
        <v>MAGIST.  CON FUNZ. DIRETT. APICALI GIUDICANTI DI LEGITTIMITÀ</v>
      </c>
      <c r="B6" s="226" t="str">
        <f>'t1'!B6</f>
        <v>0D0MT1</v>
      </c>
      <c r="C6" s="322"/>
      <c r="D6" s="323"/>
      <c r="E6" s="322"/>
      <c r="F6" s="323"/>
      <c r="G6" s="322"/>
      <c r="H6" s="324"/>
      <c r="I6" s="506"/>
      <c r="J6" s="324"/>
      <c r="K6" s="506"/>
      <c r="L6" s="324"/>
      <c r="M6" s="325"/>
      <c r="N6" s="326"/>
      <c r="O6" s="512">
        <f>SUM(C6,E6,G6,I6,K6,M6)</f>
        <v>0</v>
      </c>
      <c r="P6" s="515">
        <f>SUM(D6,F6,H6,J6,L6,N6)</f>
        <v>0</v>
      </c>
    </row>
    <row r="7" spans="1:16" ht="13.5" customHeight="1">
      <c r="A7" s="148" t="str">
        <f>'t1'!A7</f>
        <v>MAGIST. CON FUNZ. DIRETT. APICALI REQUIRENTI DI LEGITTIMITÀ</v>
      </c>
      <c r="B7" s="219" t="str">
        <f>'t1'!B7</f>
        <v>0D0MT2</v>
      </c>
      <c r="C7" s="327"/>
      <c r="D7" s="328"/>
      <c r="E7" s="327"/>
      <c r="F7" s="328"/>
      <c r="G7" s="327"/>
      <c r="H7" s="329"/>
      <c r="I7" s="507"/>
      <c r="J7" s="329"/>
      <c r="K7" s="507"/>
      <c r="L7" s="329"/>
      <c r="M7" s="330"/>
      <c r="N7" s="331"/>
      <c r="O7" s="451">
        <f aca="true" t="shared" si="0" ref="O7:O14">SUM(C7,E7,G7,I7,K7,M7)</f>
        <v>0</v>
      </c>
      <c r="P7" s="452">
        <f aca="true" t="shared" si="1" ref="P7:P14">SUM(D7,F7,H7,J7,L7,N7)</f>
        <v>0</v>
      </c>
    </row>
    <row r="8" spans="1:16" ht="13.5" customHeight="1">
      <c r="A8" s="148" t="str">
        <f>'t1'!A8</f>
        <v>MAGISTRATI CON FUNZIONI DIRETTIVE SUPERIORI DI LEGITTIMITÀ</v>
      </c>
      <c r="B8" s="219" t="str">
        <f>'t1'!B8</f>
        <v>0D0MT3</v>
      </c>
      <c r="C8" s="327"/>
      <c r="D8" s="328"/>
      <c r="E8" s="327"/>
      <c r="F8" s="328"/>
      <c r="G8" s="327"/>
      <c r="H8" s="329"/>
      <c r="I8" s="507"/>
      <c r="J8" s="329"/>
      <c r="K8" s="507"/>
      <c r="L8" s="329"/>
      <c r="M8" s="330"/>
      <c r="N8" s="331"/>
      <c r="O8" s="451">
        <f t="shared" si="0"/>
        <v>0</v>
      </c>
      <c r="P8" s="452">
        <f t="shared" si="1"/>
        <v>0</v>
      </c>
    </row>
    <row r="9" spans="1:16" ht="13.5" customHeight="1">
      <c r="A9" s="148" t="str">
        <f>'t1'!A9</f>
        <v>MAGISTRATI ORDINARI VII VALUT. PROF.</v>
      </c>
      <c r="B9" s="219" t="str">
        <f>'t1'!B9</f>
        <v>0D0MT4</v>
      </c>
      <c r="C9" s="327"/>
      <c r="D9" s="328"/>
      <c r="E9" s="327"/>
      <c r="F9" s="328"/>
      <c r="G9" s="327"/>
      <c r="H9" s="329"/>
      <c r="I9" s="507"/>
      <c r="J9" s="329"/>
      <c r="K9" s="507"/>
      <c r="L9" s="329"/>
      <c r="M9" s="330"/>
      <c r="N9" s="331"/>
      <c r="O9" s="451">
        <f t="shared" si="0"/>
        <v>0</v>
      </c>
      <c r="P9" s="452">
        <f t="shared" si="1"/>
        <v>0</v>
      </c>
    </row>
    <row r="10" spans="1:16" ht="13.5" customHeight="1">
      <c r="A10" s="148" t="str">
        <f>'t1'!A10</f>
        <v>MAGISTRATI ORDINARI V VALUT. PROF.</v>
      </c>
      <c r="B10" s="219" t="str">
        <f>'t1'!B10</f>
        <v>0D0MT5</v>
      </c>
      <c r="C10" s="327"/>
      <c r="D10" s="328"/>
      <c r="E10" s="327"/>
      <c r="F10" s="328"/>
      <c r="G10" s="327"/>
      <c r="H10" s="329"/>
      <c r="I10" s="507"/>
      <c r="J10" s="329"/>
      <c r="K10" s="507"/>
      <c r="L10" s="329"/>
      <c r="M10" s="330"/>
      <c r="N10" s="331"/>
      <c r="O10" s="451">
        <f t="shared" si="0"/>
        <v>0</v>
      </c>
      <c r="P10" s="452">
        <f t="shared" si="1"/>
        <v>0</v>
      </c>
    </row>
    <row r="11" spans="1:16" ht="13.5" customHeight="1">
      <c r="A11" s="148" t="str">
        <f>'t1'!A11</f>
        <v>MAGISTRATI ORDINARI DOPO 1 ANNO DALLA III VALUT. PROF.</v>
      </c>
      <c r="B11" s="219" t="str">
        <f>'t1'!B11</f>
        <v>0D0MT6</v>
      </c>
      <c r="C11" s="327"/>
      <c r="D11" s="328"/>
      <c r="E11" s="327"/>
      <c r="F11" s="328"/>
      <c r="G11" s="327"/>
      <c r="H11" s="329"/>
      <c r="I11" s="507"/>
      <c r="J11" s="329"/>
      <c r="K11" s="507"/>
      <c r="L11" s="329"/>
      <c r="M11" s="330"/>
      <c r="N11" s="331"/>
      <c r="O11" s="451">
        <f t="shared" si="0"/>
        <v>0</v>
      </c>
      <c r="P11" s="452">
        <f t="shared" si="1"/>
        <v>0</v>
      </c>
    </row>
    <row r="12" spans="1:16" ht="13.5" customHeight="1">
      <c r="A12" s="148" t="str">
        <f>'t1'!A12</f>
        <v>MAGISTRATI ORDINARI  I  VALUT. PROF.</v>
      </c>
      <c r="B12" s="219" t="str">
        <f>'t1'!B12</f>
        <v>0D0MT7</v>
      </c>
      <c r="C12" s="327"/>
      <c r="D12" s="328"/>
      <c r="E12" s="327"/>
      <c r="F12" s="328"/>
      <c r="G12" s="327"/>
      <c r="H12" s="329"/>
      <c r="I12" s="507"/>
      <c r="J12" s="329"/>
      <c r="K12" s="507"/>
      <c r="L12" s="329"/>
      <c r="M12" s="330"/>
      <c r="N12" s="331"/>
      <c r="O12" s="451">
        <f t="shared" si="0"/>
        <v>0</v>
      </c>
      <c r="P12" s="452">
        <f t="shared" si="1"/>
        <v>0</v>
      </c>
    </row>
    <row r="13" spans="1:16" ht="13.5" customHeight="1">
      <c r="A13" s="148" t="str">
        <f>'t1'!A13</f>
        <v>MAGISTRATI ORDINARI</v>
      </c>
      <c r="B13" s="219" t="str">
        <f>'t1'!B13</f>
        <v>0D0MT8</v>
      </c>
      <c r="C13" s="327"/>
      <c r="D13" s="328"/>
      <c r="E13" s="327"/>
      <c r="F13" s="328"/>
      <c r="G13" s="327"/>
      <c r="H13" s="329"/>
      <c r="I13" s="507"/>
      <c r="J13" s="329"/>
      <c r="K13" s="507"/>
      <c r="L13" s="329"/>
      <c r="M13" s="330"/>
      <c r="N13" s="331"/>
      <c r="O13" s="451">
        <f t="shared" si="0"/>
        <v>0</v>
      </c>
      <c r="P13" s="452">
        <f t="shared" si="1"/>
        <v>0</v>
      </c>
    </row>
    <row r="14" spans="1:16" ht="13.5" customHeight="1" thickBot="1">
      <c r="A14" s="148" t="str">
        <f>'t1'!A14</f>
        <v>MAGISTRATI ORDINARI IN TIROCINIO</v>
      </c>
      <c r="B14" s="219" t="str">
        <f>'t1'!B14</f>
        <v>0D0MT9</v>
      </c>
      <c r="C14" s="327"/>
      <c r="D14" s="328"/>
      <c r="E14" s="327"/>
      <c r="F14" s="328"/>
      <c r="G14" s="327"/>
      <c r="H14" s="329"/>
      <c r="I14" s="507"/>
      <c r="J14" s="329"/>
      <c r="K14" s="507"/>
      <c r="L14" s="329"/>
      <c r="M14" s="330"/>
      <c r="N14" s="331"/>
      <c r="O14" s="451">
        <f t="shared" si="0"/>
        <v>0</v>
      </c>
      <c r="P14" s="452">
        <f t="shared" si="1"/>
        <v>0</v>
      </c>
    </row>
    <row r="15" spans="1:16" ht="12" customHeight="1" thickBot="1" thickTop="1">
      <c r="A15" s="39" t="s">
        <v>59</v>
      </c>
      <c r="B15" s="40"/>
      <c r="C15" s="453">
        <f aca="true" t="shared" si="2" ref="C15:P15">SUM(C6:C14)</f>
        <v>0</v>
      </c>
      <c r="D15" s="454">
        <f t="shared" si="2"/>
        <v>0</v>
      </c>
      <c r="E15" s="453">
        <f t="shared" si="2"/>
        <v>0</v>
      </c>
      <c r="F15" s="454">
        <f t="shared" si="2"/>
        <v>0</v>
      </c>
      <c r="G15" s="453">
        <f t="shared" si="2"/>
        <v>0</v>
      </c>
      <c r="H15" s="454">
        <f t="shared" si="2"/>
        <v>0</v>
      </c>
      <c r="I15" s="508">
        <f t="shared" si="2"/>
        <v>0</v>
      </c>
      <c r="J15" s="454">
        <f t="shared" si="2"/>
        <v>0</v>
      </c>
      <c r="K15" s="508">
        <f t="shared" si="2"/>
        <v>0</v>
      </c>
      <c r="L15" s="454">
        <f t="shared" si="2"/>
        <v>0</v>
      </c>
      <c r="M15" s="509">
        <f t="shared" si="2"/>
        <v>0</v>
      </c>
      <c r="N15" s="454">
        <f t="shared" si="2"/>
        <v>0</v>
      </c>
      <c r="O15" s="453">
        <f t="shared" si="2"/>
        <v>0</v>
      </c>
      <c r="P15" s="454">
        <f t="shared" si="2"/>
        <v>0</v>
      </c>
    </row>
    <row r="16" spans="1:20" ht="18" customHeight="1">
      <c r="A16" s="21"/>
      <c r="B16" s="7"/>
      <c r="C16" s="5"/>
      <c r="D16" s="5"/>
      <c r="E16" s="5"/>
      <c r="F16" s="5"/>
      <c r="G16" s="5"/>
      <c r="H16" s="5"/>
      <c r="I16" s="5"/>
      <c r="J16" s="5"/>
      <c r="K16" s="5"/>
      <c r="L16" s="5"/>
      <c r="M16" s="5"/>
      <c r="N16" s="5"/>
      <c r="O16" s="76"/>
      <c r="P16" s="41"/>
      <c r="Q16" s="41"/>
      <c r="R16" s="41"/>
      <c r="S16" s="41"/>
      <c r="T16" s="41"/>
    </row>
    <row r="17" spans="1:2" s="5" customFormat="1" ht="11.25">
      <c r="A17" s="21"/>
      <c r="B17" s="7"/>
    </row>
  </sheetData>
  <sheetProtection password="EA98" sheet="1" formatColumns="0" selectLockedCells="1"/>
  <mergeCells count="6">
    <mergeCell ref="M3:P3"/>
    <mergeCell ref="A1:N1"/>
    <mergeCell ref="G4:H4"/>
    <mergeCell ref="I4:J4"/>
    <mergeCell ref="M4:N4"/>
    <mergeCell ref="K4:L4"/>
  </mergeCells>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