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330" windowWidth="15420" windowHeight="3375"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abella Riconciliazione" sheetId="18" r:id="rId18"/>
    <sheet name="Valori Medi" sheetId="19" r:id="rId19"/>
    <sheet name="Squadratura 1" sheetId="20" r:id="rId20"/>
    <sheet name="Squadratura 2" sheetId="21" r:id="rId21"/>
    <sheet name="Squadratura 3" sheetId="22" r:id="rId22"/>
    <sheet name="Squadratura 4" sheetId="23" r:id="rId23"/>
    <sheet name="Incongruenze 1 e 11" sheetId="24" r:id="rId24"/>
    <sheet name="Incongruenza 2" sheetId="25" r:id="rId25"/>
    <sheet name="Incongruenze 3, 12 e 13" sheetId="26" r:id="rId26"/>
    <sheet name="Incongruenza 4 e controlli t14" sheetId="27" r:id="rId27"/>
    <sheet name="Incongruenza 5" sheetId="28" r:id="rId28"/>
    <sheet name="Incongruenza 6" sheetId="29" r:id="rId29"/>
    <sheet name="Incongruenza 7" sheetId="30" r:id="rId30"/>
    <sheet name="Incongruenza 8" sheetId="31" r:id="rId31"/>
    <sheet name="Incongruenza 10" sheetId="32" r:id="rId32"/>
    <sheet name="Incongruenza 14" sheetId="33" r:id="rId33"/>
  </sheets>
  <externalReferences>
    <externalReference r:id="rId36"/>
    <externalReference r:id="rId37"/>
  </externalReferences>
  <definedNames>
    <definedName name="_xlfn.BAHTTEXT" hidden="1">#NAME?</definedName>
    <definedName name="_xlfn.SINGLE" hidden="1">#NAME?</definedName>
    <definedName name="_xlnm.Print_Area" localSheetId="1">'COCOCO'!$A$1:$H$27</definedName>
    <definedName name="_xlnm.Print_Area" localSheetId="23">'Incongruenze 1 e 11'!$A$1:$E$21</definedName>
    <definedName name="_xlnm.Print_Area" localSheetId="25">'Incongruenze 3, 12 e 13'!$A$1:$D$14</definedName>
    <definedName name="_xlnm.Print_Area" localSheetId="0">'SI_1'!$A$1:$H$185</definedName>
    <definedName name="_xlnm.Print_Area" localSheetId="19">'Squadratura 1'!$A$1:$J$9</definedName>
    <definedName name="_xlnm.Print_Area" localSheetId="20">'Squadratura 2'!$A$1:$L$10</definedName>
    <definedName name="_xlnm.Print_Area" localSheetId="21">'Squadratura 3'!$A$1:$AB$11</definedName>
    <definedName name="_xlnm.Print_Area" localSheetId="22">'Squadratura 4'!$A$1:$I$9</definedName>
    <definedName name="_xlnm.Print_Area" localSheetId="2">'t1'!$A$1:$AK$12</definedName>
    <definedName name="_xlnm.Print_Area" localSheetId="12">'t10'!$A$1:$AV$11</definedName>
    <definedName name="_xlnm.Print_Area" localSheetId="13">'t11'!$A$1:$BA$14</definedName>
    <definedName name="_xlnm.Print_Area" localSheetId="14">'t12'!$A$1:$AJ$12</definedName>
    <definedName name="_xlnm.Print_Area" localSheetId="15">'t13'!$A$1:$AP$11</definedName>
    <definedName name="_xlnm.Print_Area" localSheetId="16">'t14'!$A$1:$D$34</definedName>
    <definedName name="_xlnm.Print_Area" localSheetId="4">'t2A'!$A$1:$S$15</definedName>
    <definedName name="_xlnm.Print_Area" localSheetId="5">'t3'!$A$1:$R$13</definedName>
    <definedName name="_xlnm.Print_Area" localSheetId="6">'t4'!$A$1:$F$11</definedName>
    <definedName name="_xlnm.Print_Area" localSheetId="7">'t5'!$A$1:$T$13</definedName>
    <definedName name="_xlnm.Print_Area" localSheetId="9">'t7'!$A$1:$X$11</definedName>
    <definedName name="_xlnm.Print_Area" localSheetId="10">'t8'!$A$1:$AB$12</definedName>
    <definedName name="_xlnm.Print_Area" localSheetId="11">'t9'!$A$1:$P$11</definedName>
    <definedName name="_xlnm.Print_Area" localSheetId="18">'Valori Medi'!$A$1:$T$11</definedName>
    <definedName name="CODI_ISTITUZIONE">#REF!</definedName>
    <definedName name="CODI_ISTITUZIONE2" localSheetId="32">#REF!</definedName>
    <definedName name="CODI_ISTITUZIONE2" localSheetId="30">#REF!</definedName>
    <definedName name="CODI_ISTITUZIONE2" localSheetId="25">#REF!</definedName>
    <definedName name="CODI_ISTITUZIONE2">#REF!</definedName>
    <definedName name="DESC_ISTITUZIONE">#REF!</definedName>
    <definedName name="DESC_ISTITUZIONE2" localSheetId="32">#REF!</definedName>
    <definedName name="DESC_ISTITUZIONE2" localSheetId="30">#REF!</definedName>
    <definedName name="DESC_ISTITUZIONE2" localSheetId="25">#REF!</definedName>
    <definedName name="DESC_ISTITUZIONE2">#REF!</definedName>
    <definedName name="_xlnm.Print_Titles" localSheetId="24">'Incongruenza 2'!$1:$5</definedName>
    <definedName name="_xlnm.Print_Titles" localSheetId="27">'Incongruenza 5'!$1:$5</definedName>
    <definedName name="_xlnm.Print_Titles" localSheetId="28">'Incongruenza 6'!$1:$5</definedName>
    <definedName name="_xlnm.Print_Titles" localSheetId="29">'Incongruenza 7'!$1:$4</definedName>
    <definedName name="_xlnm.Print_Titles" localSheetId="30">'Incongruenza 8'!$1:$5</definedName>
    <definedName name="_xlnm.Print_Titles" localSheetId="23">'Incongruenze 1 e 11'!$4:$4</definedName>
    <definedName name="_xlnm.Print_Titles" localSheetId="25">'Incongruenze 3, 12 e 13'!$4:$4</definedName>
    <definedName name="_xlnm.Print_Titles" localSheetId="19">'Squadratura 1'!$1:$5</definedName>
    <definedName name="_xlnm.Print_Titles" localSheetId="20">'Squadratura 2'!$1:$6</definedName>
    <definedName name="_xlnm.Print_Titles" localSheetId="21">'Squadratura 3'!$A:$B,'Squadratura 3'!$1:$7</definedName>
    <definedName name="_xlnm.Print_Titles" localSheetId="22">'Squadratura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18">'Valori Medi'!$A:$E,'Valori Medi'!$1:$5</definedName>
  </definedNames>
  <calcPr fullCalcOnLoad="1" fullPrecision="0"/>
</workbook>
</file>

<file path=xl/sharedStrings.xml><?xml version="1.0" encoding="utf-8"?>
<sst xmlns="http://schemas.openxmlformats.org/spreadsheetml/2006/main" count="1212" uniqueCount="582">
  <si>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</si>
  <si>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</si>
  <si>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</si>
  <si>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</si>
  <si>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</si>
  <si>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</si>
  <si>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</si>
  <si>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</si>
  <si>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</si>
  <si>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</si>
  <si>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</si>
  <si>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</si>
  <si>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</si>
  <si>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</si>
  <si>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</si>
  <si>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</si>
  <si>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</si>
  <si>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</si>
  <si>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</si>
  <si>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</si>
  <si>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</si>
  <si>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</si>
  <si>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</si>
  <si>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</si>
  <si>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</si>
  <si>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</si>
  <si>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</si>
  <si>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</si>
  <si>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</si>
  <si>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</si>
  <si>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</si>
  <si>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</si>
  <si>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</si>
  <si>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</si>
  <si>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</si>
  <si>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</si>
  <si>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</si>
  <si>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</si>
  <si>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</si>
  <si>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</si>
  <si>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</si>
  <si>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</si>
  <si>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</si>
  <si>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</si>
  <si>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</si>
  <si>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</si>
  <si>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</si>
  <si>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</si>
  <si>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</si>
  <si>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</si>
  <si>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</si>
  <si>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</si>
  <si>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</si>
  <si>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</si>
  <si>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</si>
  <si>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</si>
  <si>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</si>
  <si>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</si>
  <si>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</si>
  <si>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</si>
  <si>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</si>
  <si>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</si>
  <si>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</si>
  <si>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</si>
  <si>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</si>
  <si>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</si>
  <si>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</si>
  <si>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</si>
  <si>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</si>
  <si>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</si>
  <si>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</si>
  <si>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</si>
  <si>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</si>
  <si>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</si>
  <si>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</si>
  <si>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</si>
  <si>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</si>
  <si>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</si>
  <si>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</si>
  <si>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</si>
  <si>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</si>
  <si>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</si>
  <si>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</si>
  <si>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</si>
  <si>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</si>
  <si>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</si>
  <si>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</si>
  <si>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</si>
  <si>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</si>
  <si>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</si>
  <si>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</si>
  <si>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</si>
  <si>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</si>
  <si>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</si>
  <si>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</si>
  <si>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</si>
  <si>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</si>
  <si>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</si>
  <si>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</si>
  <si>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</si>
  <si>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</si>
  <si>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</si>
  <si>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</si>
  <si>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</si>
  <si>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</si>
  <si>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</si>
  <si>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</si>
  <si>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</si>
  <si>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</si>
  <si>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</si>
  <si>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</si>
  <si>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</si>
  <si>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</si>
  <si>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</si>
  <si>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</si>
  <si>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</si>
  <si>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</si>
  <si>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</si>
  <si>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</si>
  <si>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</si>
  <si>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</si>
  <si>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</si>
  <si>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</si>
  <si>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</si>
  <si>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</si>
  <si>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</si>
  <si>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</si>
  <si>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</si>
  <si>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</si>
  <si>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</si>
  <si>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</si>
  <si>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</si>
  <si>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</si>
  <si>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</si>
  <si>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</si>
  <si>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</si>
  <si>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</si>
  <si>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</si>
  <si>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</si>
  <si>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</si>
  <si>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</si>
  <si>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</si>
  <si>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</si>
  <si>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</si>
  <si>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</si>
  <si>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</si>
  <si>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</si>
  <si>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</si>
  <si>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</si>
  <si>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</si>
  <si>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</si>
  <si>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</si>
  <si>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</si>
  <si>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</si>
  <si>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</si>
  <si>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</si>
  <si>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</si>
  <si>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</si>
  <si>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</si>
  <si>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</si>
  <si>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</si>
  <si>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</si>
  <si>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</si>
  <si>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</si>
  <si>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</si>
  <si>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</si>
  <si>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</si>
  <si>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</si>
  <si>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</si>
  <si>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</si>
  <si>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</si>
  <si>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</si>
  <si>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</si>
  <si>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</si>
  <si>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</si>
  <si>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</si>
  <si>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</si>
  <si>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</si>
  <si>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</si>
  <si>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</si>
  <si>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</si>
  <si>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</si>
  <si>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</si>
  <si>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</si>
  <si>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</si>
  <si>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</si>
  <si>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</si>
  <si>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</si>
  <si>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</si>
  <si>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</si>
  <si>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</si>
  <si>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</si>
  <si>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</si>
  <si>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</si>
  <si>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</si>
  <si>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</si>
  <si>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</si>
  <si>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</si>
  <si>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</si>
  <si>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</si>
  <si>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</si>
  <si>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</si>
  <si>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</si>
  <si>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</si>
  <si>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</si>
  <si>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</si>
  <si>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</si>
  <si>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</si>
  <si>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</si>
  <si>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</si>
  <si>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</si>
  <si>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</si>
  <si>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</si>
  <si>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</si>
  <si>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</si>
  <si>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</si>
  <si>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</si>
  <si>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</si>
  <si>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</si>
  <si>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</si>
  <si>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</si>
  <si>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</si>
  <si>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</si>
  <si>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</si>
  <si>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</si>
  <si>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</si>
  <si>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</si>
  <si>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</si>
  <si>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</si>
  <si>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</si>
  <si>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</si>
  <si>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</si>
  <si>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</si>
  <si>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</si>
  <si>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</si>
  <si>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</si>
  <si>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</si>
  <si>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</si>
  <si>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</si>
  <si>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</si>
  <si>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</si>
  <si>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</si>
  <si>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</si>
  <si>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</si>
  <si>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</si>
  <si>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</si>
  <si>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</si>
  <si>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</si>
  <si>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</si>
  <si>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</si>
  <si>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</si>
  <si>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</si>
  <si>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</si>
  <si>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</si>
  <si>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</si>
  <si>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</si>
  <si>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</si>
  <si>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</si>
  <si>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</si>
  <si>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</si>
  <si>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</si>
  <si>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</si>
  <si>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</si>
  <si>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</si>
  <si>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</si>
  <si>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</si>
  <si>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</si>
  <si>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</si>
  <si>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</si>
  <si>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</si>
  <si>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</si>
  <si>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</si>
  <si>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</si>
  <si>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</si>
  <si>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</si>
  <si>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</si>
  <si>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</si>
  <si>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</si>
  <si>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</si>
  <si>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</si>
  <si>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</si>
  <si>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PC</t>
  </si>
  <si>
    <t>S998</t>
  </si>
  <si>
    <t>T101</t>
  </si>
  <si>
    <t>*1</t>
  </si>
  <si>
    <t>*2</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</si>
  <si>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</si>
  <si>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</si>
  <si>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</si>
  <si>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</si>
  <si>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</si>
  <si>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</si>
  <si>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</si>
  <si>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</si>
  <si>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</si>
  <si>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</si>
  <si>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</si>
  <si>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</si>
  <si>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</si>
  <si>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</si>
  <si>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</si>
  <si>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</si>
  <si>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</si>
  <si>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</si>
  <si>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</si>
  <si>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</si>
  <si>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</si>
  <si>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</si>
  <si>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</si>
  <si>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</si>
  <si>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</si>
  <si>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</si>
  <si>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</si>
  <si>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</si>
  <si>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</si>
  <si>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</si>
  <si>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</si>
  <si>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</si>
  <si>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</si>
  <si>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</si>
  <si>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</si>
  <si>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</si>
  <si>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</si>
  <si>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</si>
  <si>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</si>
  <si>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</si>
  <si>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</si>
  <si>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</si>
  <si>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</si>
  <si>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</si>
  <si>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</si>
  <si>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</si>
  <si>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</si>
  <si>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</si>
  <si>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</si>
  <si>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</si>
  <si>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</si>
  <si>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</si>
  <si>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</si>
  <si>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</si>
  <si>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</si>
  <si>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</si>
  <si>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</si>
  <si>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</si>
  <si>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</si>
  <si>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</si>
  <si>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</si>
  <si>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</si>
  <si>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</si>
  <si>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</si>
  <si>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</si>
  <si>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</si>
  <si>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</si>
  <si>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</si>
  <si>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</si>
  <si>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</si>
  <si>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</si>
  <si>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</si>
  <si>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</si>
  <si>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</si>
  <si>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</si>
  <si>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</si>
  <si>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</si>
  <si>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</si>
  <si>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</si>
  <si>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</si>
  <si>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</si>
  <si>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</si>
  <si>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</si>
  <si>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</si>
  <si>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</si>
  <si>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</si>
  <si>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</si>
  <si>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</si>
  <si>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</si>
  <si>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</si>
  <si>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</si>
  <si>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</si>
  <si>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</si>
  <si>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</si>
  <si>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</si>
  <si>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</si>
  <si>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</si>
  <si>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</si>
  <si>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</si>
  <si>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</si>
  <si>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</si>
  <si>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</si>
  <si>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</si>
  <si>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</si>
  <si>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</si>
  <si>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</si>
  <si>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</si>
  <si>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</si>
  <si>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</si>
  <si>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</si>
  <si>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</si>
  <si>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</si>
  <si>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</si>
  <si>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</si>
  <si>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</si>
  <si>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</si>
  <si>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</si>
  <si>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</si>
  <si>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</si>
  <si>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</si>
  <si>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</si>
  <si>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</si>
  <si>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</si>
  <si>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</si>
  <si>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</si>
  <si>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</si>
  <si>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</si>
  <si>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</si>
  <si>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</si>
  <si>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</si>
  <si>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</si>
  <si>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</si>
  <si>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</si>
  <si>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</si>
  <si>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</si>
  <si>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</si>
  <si>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</si>
  <si>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</si>
  <si>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</si>
  <si>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</si>
  <si>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</si>
  <si>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</si>
  <si>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</si>
  <si>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</si>
  <si>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</si>
  <si>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</si>
  <si>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</si>
  <si>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</si>
  <si>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</si>
  <si>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</si>
  <si>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</si>
  <si>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</si>
  <si>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</si>
  <si>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</si>
  <si>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EN60</t>
  </si>
  <si>
    <t>PERSONALE DIRIGENTE</t>
  </si>
  <si>
    <t>0D00NF</t>
  </si>
  <si>
    <t>0000ND</t>
  </si>
  <si>
    <t>000061</t>
  </si>
  <si>
    <t>CONTRATTISTI (a)</t>
  </si>
  <si>
    <t>LI</t>
  </si>
  <si>
    <t>PERSONALE CONTRATTISTA</t>
  </si>
  <si>
    <t>COMPENSI ACCESSORI</t>
  </si>
  <si>
    <t>S400</t>
  </si>
  <si>
    <t>IND. DI VACANZA CONTRATTUALE</t>
  </si>
  <si>
    <t>I422</t>
  </si>
  <si>
    <t>I400</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</si>
  <si>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</si>
  <si>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</si>
  <si>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</si>
  <si>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</si>
  <si>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</si>
  <si>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</si>
  <si>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</si>
  <si>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T12 non compilata o assenze comunicate &gt; gg lavorabili (</t>
  </si>
  <si>
    <t>INDENNITA' ART.42, COMMA 5, D.LGS. 151/2001</t>
  </si>
  <si>
    <t>COMPETENZE PERSONALE COMANDATO/DISTACCATO PRESSO L'AMM.NE</t>
  </si>
  <si>
    <t>I424</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</si>
  <si>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</si>
  <si>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</si>
  <si>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</si>
  <si>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</si>
  <si>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</si>
  <si>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</si>
  <si>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</si>
  <si>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</si>
  <si>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</si>
  <si>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</si>
  <si>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</si>
  <si>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</si>
  <si>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</si>
  <si>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</si>
  <si>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</si>
  <si>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</si>
  <si>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</si>
  <si>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</si>
  <si>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</si>
  <si>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</si>
  <si>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</si>
  <si>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</si>
  <si>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</si>
  <si>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</si>
  <si>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</si>
  <si>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</si>
  <si>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</si>
  <si>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</si>
  <si>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</si>
  <si>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</si>
  <si>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</si>
  <si>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</si>
  <si>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</si>
  <si>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</si>
  <si>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</si>
  <si>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</si>
  <si>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</si>
  <si>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</si>
  <si>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</si>
  <si>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</si>
  <si>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</si>
  <si>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</si>
  <si>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</si>
  <si>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</si>
  <si>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</si>
  <si>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</si>
  <si>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</si>
  <si>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</si>
  <si>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</si>
  <si>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 xml:space="preserve">sono presenti unità in T1 o personale esterno in T3, ma non assenze in T11 </t>
  </si>
  <si>
    <t>ATTENZIONE: Per gli Enti che non sono tenuti all’invio della Tabella 10, la Tavola va considerata con riferimento al diagnostico della colonna “Coerenza T1 con personale T3 OUT”</t>
  </si>
  <si>
    <t>S999</t>
  </si>
  <si>
    <t>PERSONALE NON DIRIGENTE</t>
  </si>
  <si>
    <t>COMPENSI PER PERSONALE LSU/LPU</t>
  </si>
  <si>
    <t>Personale stabilizzato da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</si>
  <si>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</si>
  <si>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</si>
  <si>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</si>
  <si>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</si>
  <si>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</si>
  <si>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</si>
  <si>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</si>
  <si>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</si>
  <si>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</si>
  <si>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</si>
  <si>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</si>
  <si>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</si>
  <si>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</si>
  <si>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</si>
  <si>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</si>
  <si>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</si>
  <si>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Risoluz. rapporto di lavoro</t>
  </si>
  <si>
    <t>Somme
dichiarate in SI_1</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</si>
  <si>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</si>
  <si>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</si>
  <si>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</si>
  <si>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</si>
  <si>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</si>
  <si>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</si>
  <si>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</si>
  <si>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</si>
  <si>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</si>
  <si>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</si>
  <si>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</si>
  <si>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</si>
  <si>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</si>
  <si>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</si>
  <si>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</si>
  <si>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</si>
  <si>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</si>
  <si>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</si>
  <si>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 11</t>
  </si>
  <si>
    <t>IN 12</t>
  </si>
  <si>
    <t>IN 13</t>
  </si>
  <si>
    <t>IN 14</t>
  </si>
  <si>
    <t>Tavola di congruenza tra i giorni di assenza indicati nella Tabella 11 e i valori di organico inseriti nelle Tabelle 1, 3, 4, 5 (incongruenza 7)</t>
  </si>
  <si>
    <t>Telelavoro/Smart working (**)
Personale indicato in T1</t>
  </si>
  <si>
    <t>ESONERI</t>
  </si>
  <si>
    <t>PERSONALE IN ASPETTATIVA</t>
  </si>
  <si>
    <t>R.I.A.</t>
  </si>
  <si>
    <t>PROGRESSIONE PER CLASSI E SCATTI/FASCE RETRIBUTIVE</t>
  </si>
  <si>
    <t>A031</t>
  </si>
  <si>
    <t>A032</t>
  </si>
  <si>
    <t>STIPENDIO 
più I.I.S</t>
  </si>
  <si>
    <t>Esoneri (OUT)
(Tab 3)</t>
  </si>
  <si>
    <t>Personale in aspettativa (OUT)
(Tab 3)</t>
  </si>
  <si>
    <t>LSU/LPU/ASU(*)</t>
  </si>
  <si>
    <t>Personale assunto con procedure art. 20 D.Lgs.75/2017</t>
  </si>
  <si>
    <t>A41</t>
  </si>
  <si>
    <t>Personale assunto con procedure Art. 35, c.3-Bis, DLGS 165/01</t>
  </si>
  <si>
    <t>Licenziamenti disposti dall’ente</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</si>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</sst>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7">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i/>
      <sz val="10"/>
      <name val="Arial"/>
      <family val="2"/>
    </font>
    <font>
      <i/>
      <sz val="10"/>
      <name val="MS Serif"/>
      <family val="1"/>
    </font>
    <font>
      <sz val="2.25"/>
      <color indexed="8"/>
      <name val="Arial"/>
      <family val="0"/>
    </font>
    <font>
      <b/>
      <sz val="8"/>
      <color indexed="8"/>
      <name val="Arial"/>
      <family val="0"/>
    </font>
    <font>
      <sz val="2.75"/>
      <color indexed="8"/>
      <name val="Arial"/>
      <family val="0"/>
    </font>
    <font>
      <b/>
      <sz val="7"/>
      <color indexed="8"/>
      <name val="Arial"/>
      <family val="0"/>
    </font>
    <font>
      <sz val="12"/>
      <color indexed="8"/>
      <name val="Times New Roman"/>
      <family val="2"/>
    </font>
    <font>
      <b/>
      <sz val="8"/>
      <color indexed="10"/>
      <name val="Helv"/>
      <family val="0"/>
    </font>
    <font>
      <b/>
      <sz val="12"/>
      <color indexed="9"/>
      <name val="Arial"/>
      <family val="2"/>
    </font>
    <font>
      <sz val="10"/>
      <color indexed="9"/>
      <name val="Courier"/>
      <family val="3"/>
    </font>
    <font>
      <sz val="10"/>
      <color indexed="9"/>
      <name val="Arial"/>
      <family val="2"/>
    </font>
    <font>
      <b/>
      <sz val="10"/>
      <color indexed="10"/>
      <name val="Helv"/>
      <family val="0"/>
    </font>
    <font>
      <b/>
      <sz val="18"/>
      <color indexed="10"/>
      <name val="Times New Roman"/>
      <family val="1"/>
    </font>
    <font>
      <sz val="8"/>
      <color indexed="10"/>
      <name val="Helv"/>
      <family val="0"/>
    </font>
    <font>
      <b/>
      <sz val="9"/>
      <color indexed="10"/>
      <name val="Arial"/>
      <family val="2"/>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b/>
      <sz val="8"/>
      <color rgb="FFFF0000"/>
      <name val="Helv"/>
      <family val="0"/>
    </font>
    <font>
      <b/>
      <sz val="12"/>
      <color theme="0"/>
      <name val="Arial"/>
      <family val="2"/>
    </font>
    <font>
      <sz val="8"/>
      <color rgb="FFFF0000"/>
      <name val="Arial"/>
      <family val="2"/>
    </font>
    <font>
      <b/>
      <sz val="10"/>
      <color rgb="FFFF000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04997999966144562"/>
        <bgColor indexed="64"/>
      </patternFill>
    </fill>
  </fills>
  <borders count="1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color indexed="63"/>
      </left>
      <right>
        <color indexed="63"/>
      </right>
      <top style="medium"/>
      <bottom style="double"/>
    </border>
    <border>
      <left style="thin"/>
      <right style="thin"/>
      <top style="thin"/>
      <bottom style="thin"/>
    </border>
    <border>
      <left>
        <color indexed="63"/>
      </left>
      <right style="medium"/>
      <top style="medium"/>
      <bottom style="double"/>
    </border>
    <border>
      <left>
        <color indexed="63"/>
      </left>
      <right style="double"/>
      <top style="double"/>
      <bottom>
        <color indexed="63"/>
      </botto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double"/>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thin"/>
      <right>
        <color indexed="63"/>
      </right>
      <top style="medium"/>
      <bottom style="mediu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5" fillId="16" borderId="1" applyNumberFormat="0" applyAlignment="0" applyProtection="0"/>
    <xf numFmtId="0" fontId="66" fillId="0" borderId="2" applyNumberFormat="0" applyFill="0" applyAlignment="0" applyProtection="0"/>
    <xf numFmtId="0" fontId="6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1" borderId="0" applyNumberFormat="0" applyBorder="0" applyAlignment="0" applyProtection="0"/>
    <xf numFmtId="203" fontId="0" fillId="0" borderId="0" applyFont="0" applyFill="0" applyBorder="0" applyAlignment="0" applyProtection="0"/>
    <xf numFmtId="0" fontId="68" fillId="7" borderId="1" applyNumberFormat="0" applyAlignment="0" applyProtection="0"/>
    <xf numFmtId="40" fontId="4" fillId="0" borderId="0" applyFont="0" applyFill="0" applyBorder="0" applyAlignment="0" applyProtection="0"/>
    <xf numFmtId="41" fontId="50"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9" fillId="22" borderId="0" applyNumberFormat="0" applyBorder="0" applyAlignment="0" applyProtection="0"/>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179" fontId="3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23" borderId="4" applyNumberFormat="0" applyFont="0" applyAlignment="0" applyProtection="0"/>
    <xf numFmtId="0" fontId="7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 borderId="0" applyNumberFormat="0" applyBorder="0" applyAlignment="0" applyProtection="0"/>
    <xf numFmtId="0" fontId="79" fillId="4" borderId="0" applyNumberFormat="0" applyBorder="0" applyAlignment="0" applyProtection="0"/>
    <xf numFmtId="178" fontId="4" fillId="0" borderId="0" applyFont="0" applyFill="0" applyBorder="0" applyAlignment="0" applyProtection="0"/>
    <xf numFmtId="200" fontId="50" fillId="0" borderId="0" applyFont="0" applyFill="0" applyBorder="0" applyAlignment="0" applyProtection="0"/>
    <xf numFmtId="178" fontId="4" fillId="0" borderId="0" applyFont="0" applyFill="0" applyBorder="0" applyAlignment="0" applyProtection="0"/>
  </cellStyleXfs>
  <cellXfs count="117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9" fillId="0" borderId="15" xfId="0" applyFont="1" applyFill="1" applyBorder="1" applyAlignment="1" applyProtection="1">
      <alignment horizontal="right" vertical="center"/>
      <protection/>
    </xf>
    <xf numFmtId="0" fontId="15" fillId="0" borderId="16" xfId="0" applyFont="1" applyFill="1" applyBorder="1" applyAlignment="1">
      <alignment horizontal="center"/>
    </xf>
    <xf numFmtId="0" fontId="9" fillId="0" borderId="17" xfId="0" applyFont="1" applyFill="1" applyBorder="1" applyAlignment="1" applyProtection="1">
      <alignment horizontal="centerContinuous" vertical="center" wrapText="1"/>
      <protection/>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9" fillId="0" borderId="18" xfId="0" applyFont="1" applyFill="1" applyBorder="1" applyAlignment="1" applyProtection="1">
      <alignment horizontal="centerContinuous" vertical="center" wrapText="1"/>
      <protection/>
    </xf>
    <xf numFmtId="0" fontId="6" fillId="0" borderId="20"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0" xfId="0" applyFont="1" applyAlignment="1">
      <alignment/>
    </xf>
    <xf numFmtId="0" fontId="14" fillId="0" borderId="22" xfId="0" applyFont="1" applyFill="1" applyBorder="1" applyAlignment="1" applyProtection="1">
      <alignment horizontal="center" vertic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lignment/>
      <protection/>
    </xf>
    <xf numFmtId="0" fontId="14" fillId="0" borderId="22" xfId="64" applyFont="1" applyFill="1" applyBorder="1" applyAlignment="1" applyProtection="1">
      <alignment horizontal="center" vertical="center"/>
      <protection/>
    </xf>
    <xf numFmtId="0" fontId="9" fillId="0" borderId="23" xfId="64" applyFont="1" applyFill="1" applyBorder="1" applyAlignment="1" applyProtection="1">
      <alignment horizontal="center" vertical="center"/>
      <protection/>
    </xf>
    <xf numFmtId="0" fontId="9" fillId="0" borderId="24" xfId="64" applyFont="1" applyFill="1" applyBorder="1" applyAlignment="1" applyProtection="1">
      <alignment horizontal="right" vertical="center"/>
      <protection/>
    </xf>
    <xf numFmtId="0" fontId="6" fillId="0" borderId="0" xfId="64" applyFont="1" applyAlignment="1">
      <alignment horizontal="center"/>
      <protection/>
    </xf>
    <xf numFmtId="0" fontId="17" fillId="0" borderId="0" xfId="63">
      <alignment/>
      <protection/>
    </xf>
    <xf numFmtId="0" fontId="18" fillId="0" borderId="25" xfId="63" applyFont="1" applyFill="1" applyBorder="1" applyAlignment="1">
      <alignment horizontal="centerContinuous" vertical="center" wrapText="1"/>
      <protection/>
    </xf>
    <xf numFmtId="0" fontId="6" fillId="0" borderId="26" xfId="63" applyFont="1" applyFill="1" applyBorder="1" applyAlignment="1">
      <alignment horizontal="centerContinuous" vertical="center" wrapText="1"/>
      <protection/>
    </xf>
    <xf numFmtId="0" fontId="9" fillId="0" borderId="27" xfId="63" applyFont="1" applyFill="1" applyBorder="1" applyAlignment="1" applyProtection="1">
      <alignment horizontal="center" vertical="center"/>
      <protection/>
    </xf>
    <xf numFmtId="0" fontId="19" fillId="0" borderId="28" xfId="63" applyFont="1" applyFill="1" applyBorder="1" applyAlignment="1" applyProtection="1">
      <alignment horizontal="centerContinuous" vertical="center" wrapText="1"/>
      <protection/>
    </xf>
    <xf numFmtId="0" fontId="19" fillId="0" borderId="0" xfId="63" applyFont="1" applyFill="1" applyBorder="1" applyAlignment="1" applyProtection="1">
      <alignment horizontal="centerContinuous" vertical="center" wrapText="1"/>
      <protection/>
    </xf>
    <xf numFmtId="0" fontId="19" fillId="0" borderId="29" xfId="63" applyFont="1" applyFill="1" applyBorder="1" applyAlignment="1" applyProtection="1">
      <alignment horizontal="center" vertical="center" wrapText="1"/>
      <protection/>
    </xf>
    <xf numFmtId="0" fontId="19" fillId="0" borderId="29" xfId="63" applyFont="1" applyFill="1" applyBorder="1" applyAlignment="1" applyProtection="1">
      <alignment horizontal="centerContinuous" vertical="center" wrapText="1"/>
      <protection/>
    </xf>
    <xf numFmtId="0" fontId="9" fillId="0" borderId="24" xfId="63" applyFont="1" applyFill="1" applyBorder="1" applyAlignment="1" applyProtection="1">
      <alignment horizontal="right" vertical="center"/>
      <protection/>
    </xf>
    <xf numFmtId="0" fontId="6" fillId="0" borderId="30" xfId="63" applyFont="1" applyFill="1" applyBorder="1" applyAlignment="1" applyProtection="1">
      <alignment horizontal="center"/>
      <protection/>
    </xf>
    <xf numFmtId="0" fontId="6" fillId="0" borderId="0" xfId="62" applyFont="1">
      <alignment/>
      <protection/>
    </xf>
    <xf numFmtId="0" fontId="7" fillId="0" borderId="0" xfId="62" applyFont="1">
      <alignment/>
      <protection/>
    </xf>
    <xf numFmtId="0" fontId="6" fillId="0" borderId="0" xfId="62" applyFont="1" applyAlignment="1">
      <alignment horizontal="center"/>
      <protection/>
    </xf>
    <xf numFmtId="0" fontId="6" fillId="0" borderId="10" xfId="62" applyFont="1" applyFill="1" applyBorder="1" applyAlignment="1">
      <alignment horizontal="centerContinuous"/>
      <protection/>
    </xf>
    <xf numFmtId="0" fontId="6" fillId="0" borderId="11" xfId="62" applyFont="1" applyFill="1" applyBorder="1" applyAlignment="1">
      <alignment horizontal="center"/>
      <protection/>
    </xf>
    <xf numFmtId="0" fontId="9" fillId="0" borderId="12" xfId="62" applyFont="1" applyFill="1" applyBorder="1" applyAlignment="1">
      <alignment horizontal="centerContinuous" vertical="center"/>
      <protection/>
    </xf>
    <xf numFmtId="0" fontId="6" fillId="0" borderId="12" xfId="62" applyFont="1" applyFill="1" applyBorder="1" applyAlignment="1">
      <alignment horizontal="centerContinuous" vertical="center"/>
      <protection/>
    </xf>
    <xf numFmtId="0" fontId="6" fillId="0" borderId="31" xfId="62" applyFont="1" applyFill="1" applyBorder="1" applyAlignment="1">
      <alignment horizontal="centerContinuous" vertical="center"/>
      <protection/>
    </xf>
    <xf numFmtId="0" fontId="9" fillId="0" borderId="23" xfId="62" applyFont="1" applyFill="1" applyBorder="1" applyAlignment="1" applyProtection="1">
      <alignment horizontal="center" vertical="center"/>
      <protection/>
    </xf>
    <xf numFmtId="0" fontId="6" fillId="0" borderId="16" xfId="62" applyFont="1" applyFill="1" applyBorder="1" applyAlignment="1">
      <alignment horizontal="center"/>
      <protection/>
    </xf>
    <xf numFmtId="0" fontId="20" fillId="0" borderId="32" xfId="62" applyFont="1" applyFill="1" applyBorder="1" applyAlignment="1" applyProtection="1">
      <alignment horizontal="center"/>
      <protection/>
    </xf>
    <xf numFmtId="0" fontId="20" fillId="0" borderId="33" xfId="62" applyFont="1" applyFill="1" applyBorder="1" applyAlignment="1" applyProtection="1">
      <alignment horizontal="center"/>
      <protection/>
    </xf>
    <xf numFmtId="0" fontId="20" fillId="0" borderId="34" xfId="62" applyFont="1" applyFill="1" applyBorder="1" applyAlignment="1" applyProtection="1">
      <alignment horizontal="center"/>
      <protection/>
    </xf>
    <xf numFmtId="0" fontId="9" fillId="0" borderId="24" xfId="62" applyFont="1" applyFill="1" applyBorder="1" applyAlignment="1" applyProtection="1">
      <alignment horizontal="right" vertical="center"/>
      <protection/>
    </xf>
    <xf numFmtId="0" fontId="6" fillId="0" borderId="30" xfId="62" applyFont="1" applyFill="1" applyBorder="1" applyAlignment="1" applyProtection="1">
      <alignment horizontal="center"/>
      <protection/>
    </xf>
    <xf numFmtId="0" fontId="6" fillId="0" borderId="0" xfId="61" applyFont="1">
      <alignment/>
      <protection/>
    </xf>
    <xf numFmtId="0" fontId="7" fillId="0" borderId="0" xfId="61" applyFont="1">
      <alignment/>
      <protection/>
    </xf>
    <xf numFmtId="0" fontId="6" fillId="0" borderId="0" xfId="61" applyFont="1" applyAlignment="1">
      <alignment horizontal="center"/>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
      <protection/>
    </xf>
    <xf numFmtId="0" fontId="9" fillId="0" borderId="12" xfId="61" applyFont="1" applyFill="1" applyBorder="1" applyAlignment="1">
      <alignment horizontal="centerContinuous" vertical="center"/>
      <protection/>
    </xf>
    <xf numFmtId="0" fontId="6" fillId="0" borderId="12" xfId="61" applyFont="1" applyFill="1" applyBorder="1" applyAlignment="1">
      <alignment horizontal="centerContinuous" vertical="center"/>
      <protection/>
    </xf>
    <xf numFmtId="0" fontId="6" fillId="0" borderId="31" xfId="61" applyFont="1" applyFill="1" applyBorder="1" applyAlignment="1">
      <alignment horizontal="centerContinuous" vertical="center"/>
      <protection/>
    </xf>
    <xf numFmtId="0" fontId="9" fillId="0" borderId="23" xfId="61" applyFont="1" applyFill="1" applyBorder="1" applyAlignment="1" applyProtection="1">
      <alignment horizontal="center" vertical="center"/>
      <protection/>
    </xf>
    <xf numFmtId="0" fontId="9" fillId="0" borderId="17" xfId="61" applyFont="1" applyFill="1" applyBorder="1" applyAlignment="1" applyProtection="1">
      <alignment horizontal="centerContinuous" vertical="center"/>
      <protection/>
    </xf>
    <xf numFmtId="0" fontId="6" fillId="0" borderId="16" xfId="61" applyFont="1" applyFill="1" applyBorder="1" applyAlignment="1">
      <alignment horizontal="center"/>
      <protection/>
    </xf>
    <xf numFmtId="0" fontId="20" fillId="0" borderId="32" xfId="61" applyFont="1" applyFill="1" applyBorder="1" applyAlignment="1" applyProtection="1">
      <alignment horizontal="center"/>
      <protection/>
    </xf>
    <xf numFmtId="0" fontId="20" fillId="0" borderId="33" xfId="61" applyFont="1" applyFill="1" applyBorder="1" applyAlignment="1" applyProtection="1">
      <alignment horizontal="center"/>
      <protection/>
    </xf>
    <xf numFmtId="0" fontId="20" fillId="0" borderId="34" xfId="61" applyFont="1" applyFill="1" applyBorder="1" applyAlignment="1" applyProtection="1">
      <alignment horizontal="center"/>
      <protection/>
    </xf>
    <xf numFmtId="0" fontId="9" fillId="0" borderId="24" xfId="61" applyFont="1" applyFill="1" applyBorder="1" applyAlignment="1" applyProtection="1">
      <alignment horizontal="right" vertical="center"/>
      <protection/>
    </xf>
    <xf numFmtId="0" fontId="6" fillId="0" borderId="30" xfId="61" applyFont="1" applyFill="1" applyBorder="1" applyAlignment="1" applyProtection="1">
      <alignment horizontal="center"/>
      <protection/>
    </xf>
    <xf numFmtId="0" fontId="5" fillId="0" borderId="0" xfId="60" applyFont="1" applyBorder="1" applyAlignment="1" applyProtection="1">
      <alignment horizontal="left" vertical="top"/>
      <protection/>
    </xf>
    <xf numFmtId="0" fontId="6" fillId="0" borderId="0" xfId="60" applyFont="1" applyBorder="1" applyAlignment="1">
      <alignment horizontal="center"/>
      <protection/>
    </xf>
    <xf numFmtId="0" fontId="6" fillId="0" borderId="0" xfId="60" applyFont="1" applyBorder="1">
      <alignment/>
      <protection/>
    </xf>
    <xf numFmtId="0" fontId="6" fillId="0" borderId="0" xfId="60" applyFont="1" applyBorder="1" applyAlignment="1" applyProtection="1">
      <alignment horizontal="left"/>
      <protection/>
    </xf>
    <xf numFmtId="0" fontId="6" fillId="0" borderId="0" xfId="60" applyFont="1">
      <alignment/>
      <protection/>
    </xf>
    <xf numFmtId="0" fontId="6" fillId="0" borderId="10" xfId="60" applyFont="1" applyFill="1" applyBorder="1" applyAlignment="1">
      <alignment horizontal="centerContinuous"/>
      <protection/>
    </xf>
    <xf numFmtId="0" fontId="6" fillId="0" borderId="11" xfId="60" applyFont="1" applyFill="1" applyBorder="1" applyAlignment="1">
      <alignment horizontal="center"/>
      <protection/>
    </xf>
    <xf numFmtId="0" fontId="9" fillId="0" borderId="12" xfId="60" applyFont="1" applyFill="1" applyBorder="1" applyAlignment="1">
      <alignment horizontal="centerContinuous" vertical="center"/>
      <protection/>
    </xf>
    <xf numFmtId="0" fontId="6" fillId="0" borderId="12" xfId="60" applyFont="1" applyFill="1" applyBorder="1" applyAlignment="1">
      <alignment horizontal="centerContinuous" vertical="center"/>
      <protection/>
    </xf>
    <xf numFmtId="0" fontId="6" fillId="0" borderId="31" xfId="60" applyFont="1" applyFill="1" applyBorder="1" applyAlignment="1">
      <alignment horizontal="centerContinuous" vertical="center"/>
      <protection/>
    </xf>
    <xf numFmtId="0" fontId="9" fillId="0" borderId="23" xfId="60" applyFont="1" applyFill="1" applyBorder="1" applyAlignment="1" applyProtection="1">
      <alignment horizontal="center" vertical="center"/>
      <protection/>
    </xf>
    <xf numFmtId="0" fontId="6" fillId="0" borderId="16" xfId="60" applyFont="1" applyFill="1" applyBorder="1" applyAlignment="1">
      <alignment horizontal="center"/>
      <protection/>
    </xf>
    <xf numFmtId="0" fontId="9" fillId="0" borderId="24" xfId="60" applyFont="1" applyFill="1" applyBorder="1" applyAlignment="1" applyProtection="1">
      <alignment horizontal="right" vertical="center"/>
      <protection/>
    </xf>
    <xf numFmtId="0" fontId="6" fillId="0" borderId="30" xfId="60" applyFont="1" applyFill="1" applyBorder="1" applyAlignment="1" applyProtection="1">
      <alignment horizontal="center"/>
      <protection/>
    </xf>
    <xf numFmtId="0" fontId="6" fillId="0" borderId="0" xfId="60" applyFont="1" applyAlignment="1">
      <alignment horizontal="center"/>
      <protection/>
    </xf>
    <xf numFmtId="0" fontId="6" fillId="0" borderId="0" xfId="59" applyFont="1">
      <alignment/>
      <protection/>
    </xf>
    <xf numFmtId="0" fontId="6" fillId="0" borderId="10" xfId="59" applyFont="1" applyFill="1" applyBorder="1" applyAlignment="1">
      <alignment horizontal="centerContinuous"/>
      <protection/>
    </xf>
    <xf numFmtId="0" fontId="6" fillId="0" borderId="11" xfId="59" applyFont="1" applyFill="1" applyBorder="1" applyAlignment="1">
      <alignment horizontal="center"/>
      <protection/>
    </xf>
    <xf numFmtId="0" fontId="6" fillId="0" borderId="12" xfId="59" applyFont="1" applyFill="1" applyBorder="1" applyAlignment="1">
      <alignment horizontal="centerContinuous" vertical="center"/>
      <protection/>
    </xf>
    <xf numFmtId="0" fontId="6" fillId="0" borderId="31" xfId="59" applyFont="1" applyFill="1" applyBorder="1" applyAlignment="1">
      <alignment horizontal="centerContinuous" vertical="center"/>
      <protection/>
    </xf>
    <xf numFmtId="0" fontId="9" fillId="0" borderId="23" xfId="59" applyFont="1" applyFill="1" applyBorder="1" applyAlignment="1" applyProtection="1">
      <alignment horizontal="center" vertical="center"/>
      <protection/>
    </xf>
    <xf numFmtId="0" fontId="6" fillId="0" borderId="16" xfId="59" applyFont="1" applyFill="1" applyBorder="1" applyAlignment="1">
      <alignment horizontal="center"/>
      <protection/>
    </xf>
    <xf numFmtId="0" fontId="9" fillId="0" borderId="24" xfId="59" applyFont="1" applyFill="1" applyBorder="1" applyAlignment="1" applyProtection="1">
      <alignment horizontal="right" vertical="center"/>
      <protection/>
    </xf>
    <xf numFmtId="0" fontId="6" fillId="0" borderId="30" xfId="59" applyFont="1" applyFill="1" applyBorder="1" applyAlignment="1" applyProtection="1">
      <alignment horizontal="center"/>
      <protection/>
    </xf>
    <xf numFmtId="0" fontId="6" fillId="0" borderId="0" xfId="59" applyFont="1" applyAlignment="1">
      <alignment horizontal="center"/>
      <protection/>
    </xf>
    <xf numFmtId="0" fontId="6" fillId="0" borderId="35" xfId="0" applyFont="1" applyFill="1" applyBorder="1" applyAlignment="1">
      <alignment horizontal="centerContinuous" vertical="center"/>
    </xf>
    <xf numFmtId="0" fontId="17"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25"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9" fillId="0" borderId="38"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justify"/>
      <protection/>
    </xf>
    <xf numFmtId="0" fontId="23" fillId="0" borderId="0" xfId="0" applyFont="1" applyAlignment="1">
      <alignment/>
    </xf>
    <xf numFmtId="0" fontId="6" fillId="0" borderId="41" xfId="0" applyFont="1" applyFill="1" applyBorder="1" applyAlignment="1" applyProtection="1">
      <alignment horizontal="justify"/>
      <protection/>
    </xf>
    <xf numFmtId="0" fontId="0" fillId="0" borderId="0" xfId="0" applyFont="1" applyAlignment="1">
      <alignment/>
    </xf>
    <xf numFmtId="0" fontId="6" fillId="0" borderId="40" xfId="0" applyFont="1" applyFill="1" applyBorder="1" applyAlignment="1" applyProtection="1">
      <alignment horizontal="left"/>
      <protection/>
    </xf>
    <xf numFmtId="0" fontId="6" fillId="0" borderId="40" xfId="0" applyFont="1" applyFill="1" applyBorder="1" applyAlignment="1" applyProtection="1">
      <alignment horizontal="justify" wrapText="1"/>
      <protection/>
    </xf>
    <xf numFmtId="0" fontId="6" fillId="0" borderId="40" xfId="0" applyFont="1" applyFill="1" applyBorder="1" applyAlignment="1" applyProtection="1">
      <alignment wrapText="1"/>
      <protection/>
    </xf>
    <xf numFmtId="0" fontId="9" fillId="0" borderId="42" xfId="0" applyFont="1" applyFill="1" applyBorder="1" applyAlignment="1">
      <alignment horizontal="centerContinuous" vertical="center" wrapText="1"/>
    </xf>
    <xf numFmtId="0" fontId="9" fillId="0" borderId="16"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4" xfId="0" applyFont="1" applyFill="1" applyBorder="1" applyAlignment="1" applyProtection="1">
      <alignment horizontal="right" vertical="center"/>
      <protection/>
    </xf>
    <xf numFmtId="0" fontId="6" fillId="0" borderId="30" xfId="0" applyFont="1" applyFill="1" applyBorder="1" applyAlignment="1" applyProtection="1">
      <alignment horizontal="center"/>
      <protection/>
    </xf>
    <xf numFmtId="0" fontId="6" fillId="0" borderId="31" xfId="0" applyFont="1" applyFill="1" applyBorder="1" applyAlignment="1">
      <alignment horizontal="centerContinuous" vertical="center"/>
    </xf>
    <xf numFmtId="0" fontId="9" fillId="0" borderId="23" xfId="0" applyFont="1" applyFill="1" applyBorder="1" applyAlignment="1" applyProtection="1">
      <alignment horizontal="center" vertical="center"/>
      <protection/>
    </xf>
    <xf numFmtId="0" fontId="6" fillId="0" borderId="17"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1" xfId="0" applyFont="1" applyFill="1" applyBorder="1" applyAlignment="1" applyProtection="1">
      <alignment horizontal="centerContinuous" vertical="center"/>
      <protection/>
    </xf>
    <xf numFmtId="0" fontId="9" fillId="0" borderId="43" xfId="0" applyFont="1" applyFill="1" applyBorder="1" applyAlignment="1" applyProtection="1">
      <alignment horizontal="centerContinuous" vertical="center" wrapText="1"/>
      <protection/>
    </xf>
    <xf numFmtId="0" fontId="9" fillId="0" borderId="38" xfId="0" applyFont="1" applyFill="1" applyBorder="1" applyAlignment="1" applyProtection="1">
      <alignment horizontal="centerContinuous" vertical="center" wrapText="1"/>
      <protection/>
    </xf>
    <xf numFmtId="0" fontId="9" fillId="0" borderId="17"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38"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1" applyFont="1" applyFill="1" applyBorder="1" applyAlignment="1">
      <alignment horizontal="centerContinuous" vertical="center"/>
      <protection/>
    </xf>
    <xf numFmtId="0" fontId="6" fillId="0" borderId="41" xfId="0" applyFont="1" applyFill="1" applyBorder="1" applyAlignment="1" applyProtection="1">
      <alignment horizontal="justify" wrapText="1"/>
      <protection/>
    </xf>
    <xf numFmtId="0" fontId="9" fillId="24" borderId="46" xfId="59" applyFont="1" applyFill="1" applyBorder="1" applyAlignment="1">
      <alignment horizontal="centerContinuous" vertical="center"/>
      <protection/>
    </xf>
    <xf numFmtId="0" fontId="6" fillId="24" borderId="12" xfId="59" applyFont="1" applyFill="1" applyBorder="1" applyAlignment="1">
      <alignment horizontal="centerContinuous" vertical="center"/>
      <protection/>
    </xf>
    <xf numFmtId="0" fontId="6" fillId="24" borderId="31" xfId="59" applyFont="1" applyFill="1" applyBorder="1" applyAlignment="1">
      <alignment horizontal="centerContinuous" vertical="center"/>
      <protection/>
    </xf>
    <xf numFmtId="0" fontId="21" fillId="24" borderId="47" xfId="59" applyFont="1" applyFill="1" applyBorder="1" applyAlignment="1" applyProtection="1">
      <alignment horizontal="centerContinuous" vertical="center" wrapText="1"/>
      <protection/>
    </xf>
    <xf numFmtId="0" fontId="21" fillId="24" borderId="44" xfId="59" applyFont="1" applyFill="1" applyBorder="1" applyAlignment="1">
      <alignment horizontal="centerContinuous" vertical="center"/>
      <protection/>
    </xf>
    <xf numFmtId="0" fontId="21" fillId="24" borderId="44" xfId="60" applyFont="1" applyFill="1" applyBorder="1" applyAlignment="1">
      <alignment horizontal="centerContinuous" vertical="center"/>
      <protection/>
    </xf>
    <xf numFmtId="0" fontId="21" fillId="24" borderId="17" xfId="60" applyFont="1" applyFill="1" applyBorder="1" applyAlignment="1" applyProtection="1">
      <alignment horizontal="centerContinuous" vertical="center"/>
      <protection/>
    </xf>
    <xf numFmtId="0" fontId="20" fillId="24" borderId="48" xfId="59" applyFont="1" applyFill="1" applyBorder="1" applyAlignment="1" applyProtection="1">
      <alignment horizontal="center"/>
      <protection/>
    </xf>
    <xf numFmtId="0" fontId="20" fillId="24" borderId="34" xfId="59" applyFont="1" applyFill="1" applyBorder="1" applyAlignment="1" applyProtection="1">
      <alignment horizontal="center"/>
      <protection/>
    </xf>
    <xf numFmtId="0" fontId="20" fillId="24" borderId="32" xfId="59" applyFont="1" applyFill="1" applyBorder="1" applyAlignment="1" applyProtection="1">
      <alignment horizontal="center"/>
      <protection/>
    </xf>
    <xf numFmtId="0" fontId="20" fillId="24" borderId="48" xfId="60" applyFont="1" applyFill="1" applyBorder="1" applyAlignment="1" applyProtection="1">
      <alignment horizontal="center"/>
      <protection/>
    </xf>
    <xf numFmtId="0" fontId="20" fillId="24" borderId="34" xfId="60" applyFont="1" applyFill="1" applyBorder="1" applyAlignment="1" applyProtection="1">
      <alignment horizontal="center"/>
      <protection/>
    </xf>
    <xf numFmtId="0" fontId="20" fillId="24" borderId="32" xfId="60"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2" applyFont="1" applyFill="1" applyBorder="1" applyAlignment="1" applyProtection="1">
      <alignment horizontal="right" vertical="center"/>
      <protection/>
    </xf>
    <xf numFmtId="0" fontId="6" fillId="0" borderId="0" xfId="62" applyFont="1" applyFill="1" applyBorder="1" applyAlignment="1" applyProtection="1">
      <alignment horizontal="center"/>
      <protection/>
    </xf>
    <xf numFmtId="0" fontId="6" fillId="24" borderId="0" xfId="62" applyFont="1" applyFill="1" applyBorder="1">
      <alignment/>
      <protection/>
    </xf>
    <xf numFmtId="0" fontId="17" fillId="0" borderId="52"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62" applyFont="1" applyFill="1" applyBorder="1" applyAlignment="1" applyProtection="1">
      <alignment horizontal="center" vertical="center"/>
      <protection/>
    </xf>
    <xf numFmtId="0" fontId="9" fillId="0" borderId="55" xfId="62" applyFont="1" applyFill="1" applyBorder="1" applyAlignment="1" applyProtection="1">
      <alignment vertical="center"/>
      <protection/>
    </xf>
    <xf numFmtId="0" fontId="29" fillId="0" borderId="30" xfId="59" applyFont="1" applyFill="1" applyBorder="1" applyAlignment="1" applyProtection="1">
      <alignment horizontal="center"/>
      <protection/>
    </xf>
    <xf numFmtId="0" fontId="29" fillId="0" borderId="0" xfId="0" applyFont="1" applyAlignment="1">
      <alignment horizontal="center"/>
    </xf>
    <xf numFmtId="0" fontId="29" fillId="0" borderId="0" xfId="59"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1"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2"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60"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17"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0" fontId="6" fillId="0" borderId="20" xfId="0" applyFont="1" applyFill="1" applyBorder="1" applyAlignment="1" applyProtection="1">
      <alignment horizontal="justify"/>
      <protection/>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8" xfId="0" applyFont="1" applyFill="1" applyBorder="1" applyAlignment="1">
      <alignment horizontal="center" vertical="center"/>
    </xf>
    <xf numFmtId="0" fontId="6" fillId="0" borderId="79" xfId="0" applyFont="1" applyFill="1" applyBorder="1" applyAlignment="1" applyProtection="1">
      <alignment horizontal="center"/>
      <protection/>
    </xf>
    <xf numFmtId="3" fontId="6" fillId="0" borderId="20" xfId="59" applyNumberFormat="1" applyFont="1" applyFill="1" applyBorder="1" applyProtection="1">
      <alignment/>
      <protection locked="0"/>
    </xf>
    <xf numFmtId="3" fontId="6" fillId="0" borderId="80" xfId="59" applyNumberFormat="1" applyFont="1" applyFill="1" applyBorder="1" applyProtection="1">
      <alignment/>
      <protection locked="0"/>
    </xf>
    <xf numFmtId="3" fontId="6" fillId="0" borderId="66" xfId="59" applyNumberFormat="1" applyFont="1" applyFill="1" applyBorder="1" applyProtection="1">
      <alignment/>
      <protection locked="0"/>
    </xf>
    <xf numFmtId="3" fontId="6" fillId="0" borderId="20" xfId="60" applyNumberFormat="1" applyFont="1" applyFill="1" applyBorder="1" applyProtection="1">
      <alignment/>
      <protection locked="0"/>
    </xf>
    <xf numFmtId="3" fontId="6" fillId="0" borderId="80" xfId="60" applyNumberFormat="1" applyFont="1" applyFill="1" applyBorder="1" applyProtection="1">
      <alignment/>
      <protection locked="0"/>
    </xf>
    <xf numFmtId="3" fontId="6" fillId="0" borderId="66" xfId="60" applyNumberFormat="1" applyFont="1" applyFill="1" applyBorder="1" applyProtection="1">
      <alignment/>
      <protection locked="0"/>
    </xf>
    <xf numFmtId="0" fontId="6" fillId="0" borderId="81" xfId="0" applyFont="1" applyFill="1" applyBorder="1" applyAlignment="1" applyProtection="1">
      <alignment horizontal="center"/>
      <protection/>
    </xf>
    <xf numFmtId="3" fontId="6" fillId="0" borderId="49" xfId="59" applyNumberFormat="1" applyFont="1" applyFill="1" applyBorder="1" applyProtection="1">
      <alignment/>
      <protection locked="0"/>
    </xf>
    <xf numFmtId="3" fontId="6" fillId="0" borderId="82" xfId="59" applyNumberFormat="1" applyFont="1" applyFill="1" applyBorder="1" applyProtection="1">
      <alignment/>
      <protection locked="0"/>
    </xf>
    <xf numFmtId="3" fontId="6" fillId="0" borderId="83" xfId="59" applyNumberFormat="1" applyFont="1" applyFill="1" applyBorder="1" applyProtection="1">
      <alignment/>
      <protection locked="0"/>
    </xf>
    <xf numFmtId="3" fontId="6" fillId="0" borderId="66" xfId="61" applyNumberFormat="1" applyFont="1" applyFill="1" applyBorder="1" applyProtection="1">
      <alignment/>
      <protection locked="0"/>
    </xf>
    <xf numFmtId="3" fontId="6" fillId="0" borderId="49" xfId="61" applyNumberFormat="1" applyFont="1" applyFill="1" applyBorder="1" applyProtection="1">
      <alignment/>
      <protection locked="0"/>
    </xf>
    <xf numFmtId="3" fontId="6" fillId="0" borderId="80" xfId="61" applyNumberFormat="1" applyFont="1" applyFill="1" applyBorder="1" applyProtection="1">
      <alignment/>
      <protection locked="0"/>
    </xf>
    <xf numFmtId="3" fontId="6" fillId="0" borderId="59" xfId="61" applyNumberFormat="1" applyFont="1" applyFill="1" applyBorder="1" applyProtection="1">
      <alignment/>
      <protection locked="0"/>
    </xf>
    <xf numFmtId="3" fontId="6" fillId="0" borderId="82" xfId="61" applyNumberFormat="1" applyFont="1" applyFill="1" applyBorder="1" applyProtection="1">
      <alignment/>
      <protection locked="0"/>
    </xf>
    <xf numFmtId="3" fontId="6" fillId="0" borderId="19" xfId="61" applyNumberFormat="1" applyFont="1" applyFill="1" applyBorder="1" applyProtection="1">
      <alignment/>
      <protection locked="0"/>
    </xf>
    <xf numFmtId="3" fontId="6" fillId="0" borderId="84" xfId="61" applyNumberFormat="1" applyFont="1" applyFill="1" applyBorder="1" applyProtection="1">
      <alignment/>
      <protection locked="0"/>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3" fillId="0" borderId="85" xfId="0" applyFont="1" applyFill="1" applyBorder="1" applyAlignment="1" applyProtection="1">
      <alignment horizontal="center" textRotation="255" wrapText="1"/>
      <protection/>
    </xf>
    <xf numFmtId="0" fontId="23" fillId="0" borderId="86" xfId="0" applyFont="1" applyFill="1" applyBorder="1" applyAlignment="1" applyProtection="1">
      <alignment horizontal="center" textRotation="255" wrapText="1"/>
      <protection/>
    </xf>
    <xf numFmtId="3" fontId="6" fillId="0" borderId="82"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66" xfId="62" applyNumberFormat="1" applyFont="1" applyFill="1" applyBorder="1" applyProtection="1">
      <alignment/>
      <protection locked="0"/>
    </xf>
    <xf numFmtId="3" fontId="6" fillId="0" borderId="49" xfId="62" applyNumberFormat="1" applyFont="1" applyFill="1" applyBorder="1" applyProtection="1">
      <alignment/>
      <protection locked="0"/>
    </xf>
    <xf numFmtId="3" fontId="6" fillId="0" borderId="80" xfId="62" applyNumberFormat="1" applyFont="1" applyFill="1" applyBorder="1" applyProtection="1">
      <alignment/>
      <protection locked="0"/>
    </xf>
    <xf numFmtId="3" fontId="6" fillId="0" borderId="59" xfId="62" applyNumberFormat="1" applyFont="1" applyFill="1" applyBorder="1" applyProtection="1">
      <alignment/>
      <protection locked="0"/>
    </xf>
    <xf numFmtId="3" fontId="6" fillId="0" borderId="82" xfId="62" applyNumberFormat="1" applyFont="1" applyFill="1" applyBorder="1" applyProtection="1">
      <alignment/>
      <protection locked="0"/>
    </xf>
    <xf numFmtId="3" fontId="6" fillId="0" borderId="81" xfId="62" applyNumberFormat="1" applyFont="1" applyFill="1" applyBorder="1" applyProtection="1">
      <alignment/>
      <protection locked="0"/>
    </xf>
    <xf numFmtId="0" fontId="9" fillId="0" borderId="11" xfId="63" applyFont="1" applyFill="1" applyBorder="1" applyAlignment="1">
      <alignment horizontal="center"/>
      <protection/>
    </xf>
    <xf numFmtId="0" fontId="9" fillId="0" borderId="43" xfId="0" applyFont="1" applyFill="1" applyBorder="1" applyAlignment="1">
      <alignment horizontal="centerContinuous" vertical="center" wrapText="1"/>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87" xfId="0" applyFont="1" applyFill="1" applyBorder="1" applyAlignment="1" applyProtection="1">
      <alignment horizontal="center"/>
      <protection/>
    </xf>
    <xf numFmtId="0" fontId="20" fillId="0" borderId="0" xfId="0" applyFont="1" applyAlignment="1">
      <alignment/>
    </xf>
    <xf numFmtId="0" fontId="6" fillId="0" borderId="35" xfId="0" applyFont="1" applyBorder="1" applyAlignment="1">
      <alignment/>
    </xf>
    <xf numFmtId="0" fontId="6" fillId="0" borderId="37" xfId="0" applyFont="1" applyBorder="1" applyAlignment="1">
      <alignment/>
    </xf>
    <xf numFmtId="3" fontId="6" fillId="0" borderId="88" xfId="64" applyNumberFormat="1" applyFont="1" applyFill="1" applyBorder="1" applyProtection="1">
      <alignment/>
      <protection locked="0"/>
    </xf>
    <xf numFmtId="3" fontId="6" fillId="0" borderId="81" xfId="64" applyNumberFormat="1" applyFont="1" applyFill="1" applyBorder="1" applyProtection="1">
      <alignment/>
      <protection locked="0"/>
    </xf>
    <xf numFmtId="3" fontId="6" fillId="0" borderId="83" xfId="64" applyNumberFormat="1" applyFont="1" applyFill="1" applyBorder="1" applyProtection="1">
      <alignment/>
      <protection locked="0"/>
    </xf>
    <xf numFmtId="3" fontId="6" fillId="0" borderId="79" xfId="64" applyNumberFormat="1" applyFont="1" applyFill="1" applyBorder="1" applyProtection="1">
      <alignment/>
      <protection locked="0"/>
    </xf>
    <xf numFmtId="0" fontId="19" fillId="0" borderId="89" xfId="64" applyFont="1" applyFill="1" applyBorder="1" applyAlignment="1" applyProtection="1">
      <alignment horizontal="centerContinuous" vertical="center"/>
      <protection/>
    </xf>
    <xf numFmtId="0" fontId="14" fillId="0" borderId="10" xfId="63" applyFont="1" applyFill="1" applyBorder="1" applyAlignment="1">
      <alignment horizontal="centerContinuous"/>
      <protection/>
    </xf>
    <xf numFmtId="0" fontId="14" fillId="0" borderId="90" xfId="62" applyFont="1" applyFill="1" applyBorder="1" applyAlignment="1" applyProtection="1">
      <alignment horizontal="center" vertical="center"/>
      <protection/>
    </xf>
    <xf numFmtId="0" fontId="14" fillId="0" borderId="90" xfId="61" applyFont="1" applyFill="1" applyBorder="1" applyAlignment="1" applyProtection="1">
      <alignment horizontal="center" vertical="center"/>
      <protection/>
    </xf>
    <xf numFmtId="0" fontId="14" fillId="0" borderId="90" xfId="60" applyFont="1" applyFill="1" applyBorder="1" applyAlignment="1" applyProtection="1">
      <alignment horizontal="center" vertical="center"/>
      <protection/>
    </xf>
    <xf numFmtId="0" fontId="14" fillId="0" borderId="90" xfId="59" applyFont="1" applyFill="1" applyBorder="1" applyAlignment="1" applyProtection="1">
      <alignment horizontal="center" vertical="center"/>
      <protection/>
    </xf>
    <xf numFmtId="0" fontId="14" fillId="0" borderId="23" xfId="59" applyFont="1" applyFill="1" applyBorder="1" applyAlignment="1" applyProtection="1">
      <alignment horizontal="center" vertical="center"/>
      <protection/>
    </xf>
    <xf numFmtId="0" fontId="15" fillId="0" borderId="16" xfId="59" applyFont="1" applyFill="1" applyBorder="1" applyAlignment="1">
      <alignment horizontal="center"/>
      <protection/>
    </xf>
    <xf numFmtId="0" fontId="15" fillId="0" borderId="91" xfId="0" applyFont="1" applyFill="1" applyBorder="1" applyAlignment="1" applyProtection="1">
      <alignment horizontal="center"/>
      <protection/>
    </xf>
    <xf numFmtId="0" fontId="15" fillId="0" borderId="92" xfId="0" applyFont="1" applyFill="1" applyBorder="1" applyAlignment="1" applyProtection="1">
      <alignment horizontal="center"/>
      <protection/>
    </xf>
    <xf numFmtId="0" fontId="20" fillId="0" borderId="93" xfId="64" applyFont="1" applyFill="1" applyBorder="1" applyAlignment="1" applyProtection="1">
      <alignment horizontal="center"/>
      <protection/>
    </xf>
    <xf numFmtId="0" fontId="20" fillId="0" borderId="27" xfId="64" applyFont="1" applyFill="1" applyBorder="1" applyAlignment="1" applyProtection="1">
      <alignment horizontal="center"/>
      <protection/>
    </xf>
    <xf numFmtId="0" fontId="20" fillId="0" borderId="0" xfId="64" applyFont="1">
      <alignment/>
      <protection/>
    </xf>
    <xf numFmtId="0" fontId="20" fillId="0" borderId="16" xfId="0" applyFont="1" applyFill="1" applyBorder="1" applyAlignment="1">
      <alignment horizontal="center"/>
    </xf>
    <xf numFmtId="0" fontId="27" fillId="0" borderId="32" xfId="0" applyFont="1" applyFill="1" applyBorder="1" applyAlignment="1" applyProtection="1">
      <alignment horizontal="center"/>
      <protection/>
    </xf>
    <xf numFmtId="0" fontId="27" fillId="0" borderId="94" xfId="0" applyFont="1" applyFill="1" applyBorder="1" applyAlignment="1" applyProtection="1">
      <alignment horizontal="center"/>
      <protection/>
    </xf>
    <xf numFmtId="0" fontId="14" fillId="0" borderId="22" xfId="0" applyFont="1" applyFill="1" applyBorder="1" applyAlignment="1">
      <alignment horizontal="centerContinuous"/>
    </xf>
    <xf numFmtId="0" fontId="9" fillId="0" borderId="95" xfId="0" applyFont="1" applyFill="1" applyBorder="1" applyAlignment="1">
      <alignment horizontal="center"/>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4" applyFont="1" applyBorder="1" applyAlignment="1" applyProtection="1">
      <alignment horizontal="left" vertical="top"/>
      <protection/>
    </xf>
    <xf numFmtId="0" fontId="9" fillId="0" borderId="54" xfId="59" applyFont="1" applyBorder="1" applyAlignment="1">
      <alignment horizontal="right"/>
      <protection/>
    </xf>
    <xf numFmtId="0" fontId="9" fillId="0" borderId="77" xfId="0" applyFont="1" applyFill="1" applyBorder="1" applyAlignment="1" applyProtection="1">
      <alignment horizontal="right" vertical="center"/>
      <protection/>
    </xf>
    <xf numFmtId="0" fontId="9" fillId="0" borderId="70" xfId="0" applyFont="1" applyFill="1" applyBorder="1" applyAlignment="1">
      <alignment horizontal="centerContinuous" vertical="center"/>
    </xf>
    <xf numFmtId="0" fontId="20" fillId="0" borderId="34" xfId="0" applyFont="1" applyFill="1" applyBorder="1" applyAlignment="1" applyProtection="1">
      <alignment horizontal="center"/>
      <protection/>
    </xf>
    <xf numFmtId="0" fontId="6" fillId="0" borderId="11" xfId="64" applyFont="1" applyBorder="1" applyAlignment="1">
      <alignment horizontal="center"/>
      <protection/>
    </xf>
    <xf numFmtId="0" fontId="9" fillId="0" borderId="35" xfId="64" applyFont="1" applyBorder="1" applyAlignment="1">
      <alignment horizontal="centerContinuous" vertical="center"/>
      <protection/>
    </xf>
    <xf numFmtId="0" fontId="9" fillId="0" borderId="37" xfId="64" applyFont="1" applyBorder="1" applyAlignment="1">
      <alignment horizontal="centerContinuous" vertical="center"/>
      <protection/>
    </xf>
    <xf numFmtId="0" fontId="9" fillId="0" borderId="35" xfId="59"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95" xfId="0" applyFont="1" applyFill="1" applyBorder="1" applyAlignment="1" applyProtection="1">
      <alignment horizontal="centerContinuous" vertical="center" wrapText="1"/>
      <protection/>
    </xf>
    <xf numFmtId="0" fontId="9" fillId="0" borderId="27"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4"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3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6" xfId="0" applyFont="1" applyFill="1" applyBorder="1" applyAlignment="1" applyProtection="1">
      <alignment horizontal="center"/>
      <protection/>
    </xf>
    <xf numFmtId="0" fontId="22" fillId="0" borderId="0" xfId="0" applyFont="1" applyAlignment="1">
      <alignment horizontal="left"/>
    </xf>
    <xf numFmtId="38" fontId="6" fillId="0" borderId="52" xfId="46" applyNumberFormat="1" applyFont="1" applyBorder="1" applyAlignment="1">
      <alignment/>
    </xf>
    <xf numFmtId="38" fontId="6" fillId="0" borderId="36" xfId="46" applyNumberFormat="1" applyFont="1" applyBorder="1" applyAlignment="1">
      <alignment/>
    </xf>
    <xf numFmtId="38" fontId="6" fillId="0" borderId="64" xfId="46" applyNumberFormat="1" applyFont="1" applyBorder="1" applyAlignment="1">
      <alignment/>
    </xf>
    <xf numFmtId="0" fontId="6" fillId="0" borderId="36"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0" fontId="33" fillId="0" borderId="98" xfId="0" applyFont="1" applyBorder="1" applyAlignment="1">
      <alignment horizontal="right" vertical="center" wrapText="1"/>
    </xf>
    <xf numFmtId="3" fontId="6" fillId="0" borderId="18" xfId="63" applyNumberFormat="1" applyFont="1" applyFill="1" applyBorder="1" applyAlignment="1" applyProtection="1">
      <alignment/>
      <protection locked="0"/>
    </xf>
    <xf numFmtId="3" fontId="6" fillId="0" borderId="100" xfId="63" applyNumberFormat="1" applyFont="1" applyFill="1" applyBorder="1" applyAlignment="1" applyProtection="1">
      <alignment/>
      <protection locked="0"/>
    </xf>
    <xf numFmtId="3" fontId="6" fillId="0" borderId="81" xfId="63" applyNumberFormat="1" applyFont="1" applyFill="1" applyBorder="1" applyAlignment="1" applyProtection="1">
      <alignment/>
      <protection locked="0"/>
    </xf>
    <xf numFmtId="3" fontId="6" fillId="0" borderId="101" xfId="63" applyNumberFormat="1" applyFont="1" applyFill="1" applyBorder="1" applyAlignment="1" applyProtection="1">
      <alignment/>
      <protection locked="0"/>
    </xf>
    <xf numFmtId="3" fontId="6" fillId="0" borderId="19" xfId="63" applyNumberFormat="1" applyFont="1" applyFill="1" applyBorder="1" applyAlignment="1" applyProtection="1">
      <alignment/>
      <protection locked="0"/>
    </xf>
    <xf numFmtId="3" fontId="6" fillId="0" borderId="66" xfId="63" applyNumberFormat="1" applyFont="1" applyFill="1" applyBorder="1" applyAlignment="1" applyProtection="1">
      <alignment/>
      <protection locked="0"/>
    </xf>
    <xf numFmtId="3" fontId="6" fillId="0" borderId="59" xfId="63" applyNumberFormat="1" applyFont="1" applyFill="1" applyBorder="1" applyAlignment="1" applyProtection="1">
      <alignment/>
      <protection locked="0"/>
    </xf>
    <xf numFmtId="3" fontId="6" fillId="0" borderId="49" xfId="63" applyNumberFormat="1" applyFont="1" applyFill="1" applyBorder="1" applyAlignment="1" applyProtection="1">
      <alignment/>
      <protection locked="0"/>
    </xf>
    <xf numFmtId="3" fontId="6" fillId="0" borderId="82" xfId="63" applyNumberFormat="1" applyFont="1" applyFill="1" applyBorder="1" applyAlignment="1" applyProtection="1">
      <alignment/>
      <protection locked="0"/>
    </xf>
    <xf numFmtId="3" fontId="6" fillId="0" borderId="84" xfId="63"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6" applyFont="1" applyBorder="1" applyAlignment="1">
      <alignment/>
    </xf>
    <xf numFmtId="38" fontId="6" fillId="0" borderId="36" xfId="46" applyNumberFormat="1" applyFont="1" applyBorder="1" applyAlignment="1">
      <alignment/>
    </xf>
    <xf numFmtId="4" fontId="6" fillId="0" borderId="36" xfId="0" applyNumberFormat="1" applyFont="1" applyBorder="1" applyAlignment="1">
      <alignment/>
    </xf>
    <xf numFmtId="10" fontId="6" fillId="0" borderId="36" xfId="67"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4" fillId="0" borderId="0" xfId="57" applyAlignment="1">
      <alignment vertical="center"/>
      <protection/>
    </xf>
    <xf numFmtId="179" fontId="35" fillId="0" borderId="0" xfId="57" applyFont="1" applyAlignment="1">
      <alignment vertical="center"/>
      <protection/>
    </xf>
    <xf numFmtId="179" fontId="34" fillId="0" borderId="0" xfId="57" applyFill="1" applyAlignment="1">
      <alignment vertical="center"/>
      <protection/>
    </xf>
    <xf numFmtId="179" fontId="17" fillId="0" borderId="0" xfId="57" applyFont="1" applyAlignment="1" applyProtection="1">
      <alignment horizontal="left" vertical="center"/>
      <protection/>
    </xf>
    <xf numFmtId="179" fontId="6" fillId="0" borderId="0" xfId="57" applyFont="1" applyAlignment="1" applyProtection="1">
      <alignment horizontal="left" vertical="top"/>
      <protection/>
    </xf>
    <xf numFmtId="179" fontId="39" fillId="0" borderId="0" xfId="57" applyFont="1" applyAlignment="1">
      <alignment vertical="top"/>
      <protection/>
    </xf>
    <xf numFmtId="179" fontId="39" fillId="0" borderId="0" xfId="57" applyFont="1" applyAlignment="1">
      <alignment vertical="center"/>
      <protection/>
    </xf>
    <xf numFmtId="179" fontId="34" fillId="0" borderId="0" xfId="58" applyNumberFormat="1" applyFont="1" applyAlignment="1">
      <alignment vertical="center"/>
      <protection/>
    </xf>
    <xf numFmtId="179" fontId="41" fillId="0" borderId="0" xfId="57" applyFont="1" applyAlignment="1">
      <alignment vertical="center"/>
      <protection/>
    </xf>
    <xf numFmtId="179" fontId="13" fillId="0" borderId="0" xfId="57" applyFont="1" applyAlignment="1" applyProtection="1">
      <alignment horizontal="left" vertical="center"/>
      <protection/>
    </xf>
    <xf numFmtId="0" fontId="15" fillId="0" borderId="81"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3"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9" xfId="0" applyFont="1" applyFill="1" applyBorder="1" applyAlignment="1">
      <alignment horizontal="centerContinuous"/>
    </xf>
    <xf numFmtId="0" fontId="6" fillId="0" borderId="103" xfId="0" applyFont="1" applyFill="1" applyBorder="1" applyAlignment="1">
      <alignment horizontal="center"/>
    </xf>
    <xf numFmtId="179" fontId="17" fillId="0" borderId="0" xfId="57" applyFont="1" applyAlignment="1" applyProtection="1">
      <alignment vertical="center"/>
      <protection/>
    </xf>
    <xf numFmtId="179" fontId="36" fillId="0" borderId="0" xfId="57" applyFont="1" applyAlignment="1" applyProtection="1">
      <alignment vertical="center"/>
      <protection/>
    </xf>
    <xf numFmtId="179" fontId="34" fillId="0" borderId="0" xfId="57" applyAlignment="1" applyProtection="1">
      <alignment vertical="center"/>
      <protection/>
    </xf>
    <xf numFmtId="179" fontId="17" fillId="0" borderId="0" xfId="57" applyFont="1" applyFill="1" applyBorder="1" applyAlignment="1" applyProtection="1">
      <alignment vertical="center"/>
      <protection/>
    </xf>
    <xf numFmtId="0" fontId="6" fillId="0" borderId="0" xfId="55" applyFont="1" applyAlignment="1" applyProtection="1">
      <alignment vertical="center"/>
      <protection/>
    </xf>
    <xf numFmtId="179" fontId="6" fillId="0" borderId="0" xfId="57" applyFont="1" applyAlignment="1" applyProtection="1">
      <alignment vertical="top"/>
      <protection/>
    </xf>
    <xf numFmtId="179" fontId="39" fillId="0" borderId="0" xfId="57" applyFont="1" applyAlignment="1" applyProtection="1">
      <alignment vertical="top"/>
      <protection/>
    </xf>
    <xf numFmtId="179" fontId="9" fillId="0" borderId="0" xfId="57" applyFont="1" applyAlignment="1" applyProtection="1">
      <alignment vertical="center"/>
      <protection/>
    </xf>
    <xf numFmtId="179" fontId="39" fillId="0" borderId="0" xfId="57" applyFont="1" applyAlignment="1" applyProtection="1">
      <alignment vertical="center"/>
      <protection/>
    </xf>
    <xf numFmtId="179" fontId="6" fillId="0" borderId="0" xfId="57" applyFont="1" applyAlignment="1" applyProtection="1">
      <alignment vertical="center"/>
      <protection/>
    </xf>
    <xf numFmtId="179" fontId="40" fillId="0" borderId="0" xfId="57" applyFont="1" applyAlignment="1" applyProtection="1">
      <alignment horizontal="left" vertical="center" wrapText="1"/>
      <protection/>
    </xf>
    <xf numFmtId="179" fontId="17" fillId="0" borderId="0" xfId="57" applyFont="1" applyFill="1" applyAlignment="1" applyProtection="1">
      <alignment vertical="center"/>
      <protection/>
    </xf>
    <xf numFmtId="0" fontId="38" fillId="0" borderId="0" xfId="55" applyFont="1" applyFill="1" applyBorder="1" applyAlignment="1" applyProtection="1">
      <alignment horizontal="left" vertical="center"/>
      <protection/>
    </xf>
    <xf numFmtId="0" fontId="6" fillId="0" borderId="0" xfId="55" applyFont="1" applyFill="1" applyAlignment="1" applyProtection="1">
      <alignment vertical="center"/>
      <protection/>
    </xf>
    <xf numFmtId="0" fontId="24" fillId="0" borderId="0" xfId="55" applyFont="1" applyFill="1" applyBorder="1" applyAlignment="1" applyProtection="1">
      <alignment horizontal="center" vertical="center"/>
      <protection/>
    </xf>
    <xf numFmtId="179" fontId="13" fillId="0" borderId="0" xfId="58" applyNumberFormat="1" applyFont="1" applyAlignment="1" applyProtection="1">
      <alignment vertical="center"/>
      <protection/>
    </xf>
    <xf numFmtId="179" fontId="22" fillId="0" borderId="0" xfId="58" applyNumberFormat="1" applyFont="1" applyAlignment="1" applyProtection="1">
      <alignment vertical="center"/>
      <protection/>
    </xf>
    <xf numFmtId="179" fontId="17" fillId="0" borderId="0" xfId="58" applyNumberFormat="1" applyFont="1" applyAlignment="1" applyProtection="1">
      <alignment vertical="center"/>
      <protection/>
    </xf>
    <xf numFmtId="0" fontId="8" fillId="0" borderId="0" xfId="0" applyFont="1" applyAlignment="1" applyProtection="1">
      <alignment horizontal="center" vertical="top"/>
      <protection/>
    </xf>
    <xf numFmtId="179" fontId="17" fillId="0" borderId="0" xfId="58" applyNumberFormat="1" applyFont="1" applyBorder="1" applyAlignment="1" applyProtection="1">
      <alignment vertical="center"/>
      <protection/>
    </xf>
    <xf numFmtId="179" fontId="41" fillId="0" borderId="0" xfId="57" applyFont="1" applyAlignment="1" applyProtection="1">
      <alignment vertical="center"/>
      <protection/>
    </xf>
    <xf numFmtId="179" fontId="17" fillId="0" borderId="0" xfId="57" applyFont="1" applyBorder="1" applyAlignment="1" applyProtection="1">
      <alignment vertical="center"/>
      <protection/>
    </xf>
    <xf numFmtId="0" fontId="17" fillId="0" borderId="0" xfId="58" applyProtection="1">
      <alignment/>
      <protection/>
    </xf>
    <xf numFmtId="179" fontId="8" fillId="0" borderId="36" xfId="57" applyFont="1" applyFill="1" applyBorder="1" applyAlignment="1" applyProtection="1">
      <alignment horizontal="center" vertical="center"/>
      <protection/>
    </xf>
    <xf numFmtId="179" fontId="34" fillId="0" borderId="0" xfId="57" applyFont="1" applyAlignment="1" applyProtection="1">
      <alignment vertical="center"/>
      <protection/>
    </xf>
    <xf numFmtId="0" fontId="0" fillId="0" borderId="0" xfId="56" applyAlignment="1" applyProtection="1">
      <alignment vertical="center"/>
      <protection/>
    </xf>
    <xf numFmtId="179" fontId="42" fillId="0" borderId="0" xfId="57" applyFont="1" applyAlignment="1" applyProtection="1">
      <alignment vertical="center"/>
      <protection/>
    </xf>
    <xf numFmtId="0" fontId="17" fillId="0" borderId="0" xfId="58"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5" fillId="0" borderId="0" xfId="57" applyNumberFormat="1" applyFont="1" applyAlignment="1" applyProtection="1">
      <alignment vertical="center"/>
      <protection/>
    </xf>
    <xf numFmtId="179" fontId="44" fillId="0" borderId="0" xfId="57" applyFont="1" applyAlignment="1" applyProtection="1">
      <alignment vertical="center"/>
      <protection/>
    </xf>
    <xf numFmtId="204" fontId="34" fillId="0" borderId="0" xfId="57" applyNumberFormat="1" applyAlignment="1" applyProtection="1">
      <alignment vertical="center"/>
      <protection locked="0"/>
    </xf>
    <xf numFmtId="0" fontId="6" fillId="0" borderId="81" xfId="64" applyFont="1" applyFill="1" applyBorder="1" applyAlignment="1">
      <alignment horizontal="centerContinuous" vertical="center" wrapText="1"/>
      <protection/>
    </xf>
    <xf numFmtId="0" fontId="18" fillId="0" borderId="88" xfId="64" applyFont="1" applyFill="1" applyBorder="1" applyAlignment="1" applyProtection="1">
      <alignment horizontal="centerContinuous" vertical="center" wrapText="1"/>
      <protection/>
    </xf>
    <xf numFmtId="0" fontId="18" fillId="0" borderId="104" xfId="64" applyFont="1" applyFill="1" applyBorder="1" applyAlignment="1" applyProtection="1">
      <alignment horizontal="centerContinuous" vertical="center" wrapText="1"/>
      <protection/>
    </xf>
    <xf numFmtId="0" fontId="19" fillId="0" borderId="105" xfId="64"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5" fillId="0" borderId="0" xfId="0" applyFont="1" applyAlignment="1">
      <alignment/>
    </xf>
    <xf numFmtId="38" fontId="45" fillId="0" borderId="0" xfId="0" applyNumberFormat="1" applyFont="1" applyAlignment="1">
      <alignment/>
    </xf>
    <xf numFmtId="0" fontId="46" fillId="0" borderId="0" xfId="0" applyFont="1" applyAlignment="1">
      <alignment/>
    </xf>
    <xf numFmtId="0" fontId="0" fillId="0" borderId="0" xfId="0" applyFont="1" applyAlignment="1">
      <alignment/>
    </xf>
    <xf numFmtId="0" fontId="0" fillId="0" borderId="0" xfId="0" applyFont="1" applyAlignment="1">
      <alignment/>
    </xf>
    <xf numFmtId="10" fontId="0" fillId="0" borderId="92" xfId="67" applyNumberFormat="1" applyFont="1" applyBorder="1" applyAlignment="1">
      <alignment horizontal="center"/>
    </xf>
    <xf numFmtId="10" fontId="0" fillId="0" borderId="72" xfId="67" applyNumberFormat="1" applyFont="1" applyBorder="1" applyAlignment="1">
      <alignment horizontal="center"/>
    </xf>
    <xf numFmtId="10" fontId="0" fillId="0" borderId="106" xfId="67" applyNumberFormat="1" applyFont="1" applyBorder="1" applyAlignment="1">
      <alignment horizontal="center"/>
    </xf>
    <xf numFmtId="10" fontId="26" fillId="0" borderId="64" xfId="67" applyNumberFormat="1" applyFont="1" applyBorder="1" applyAlignment="1">
      <alignment horizontal="center" wrapText="1"/>
    </xf>
    <xf numFmtId="10" fontId="0" fillId="0" borderId="64" xfId="67" applyNumberFormat="1" applyFont="1" applyBorder="1" applyAlignment="1">
      <alignment horizontal="center"/>
    </xf>
    <xf numFmtId="10" fontId="0" fillId="0" borderId="59" xfId="67" applyNumberFormat="1" applyFont="1" applyBorder="1" applyAlignment="1">
      <alignment horizontal="center"/>
    </xf>
    <xf numFmtId="206" fontId="6" fillId="24" borderId="66" xfId="0" applyNumberFormat="1" applyFont="1" applyFill="1" applyBorder="1" applyAlignment="1">
      <alignment/>
    </xf>
    <xf numFmtId="206" fontId="6" fillId="24" borderId="92" xfId="0" applyNumberFormat="1" applyFont="1" applyFill="1" applyBorder="1" applyAlignment="1">
      <alignment/>
    </xf>
    <xf numFmtId="206" fontId="6" fillId="0" borderId="107"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54" xfId="59" applyNumberFormat="1" applyFont="1" applyFill="1" applyBorder="1">
      <alignment/>
      <protection/>
    </xf>
    <xf numFmtId="206" fontId="6" fillId="0" borderId="108" xfId="59" applyNumberFormat="1" applyFont="1" applyFill="1" applyBorder="1">
      <alignment/>
      <protection/>
    </xf>
    <xf numFmtId="206" fontId="6" fillId="0" borderId="107" xfId="59" applyNumberFormat="1" applyFont="1" applyFill="1" applyBorder="1">
      <alignment/>
      <protection/>
    </xf>
    <xf numFmtId="206" fontId="6" fillId="24" borderId="67" xfId="0" applyNumberFormat="1" applyFont="1" applyFill="1" applyBorder="1" applyAlignment="1">
      <alignment/>
    </xf>
    <xf numFmtId="206" fontId="6" fillId="24" borderId="110" xfId="0" applyNumberFormat="1" applyFont="1" applyFill="1" applyBorder="1" applyAlignment="1">
      <alignment vertical="center"/>
    </xf>
    <xf numFmtId="206" fontId="6" fillId="0" borderId="107" xfId="0" applyNumberFormat="1" applyFont="1" applyFill="1" applyBorder="1" applyAlignment="1" applyProtection="1">
      <alignment vertical="center"/>
      <protection/>
    </xf>
    <xf numFmtId="206" fontId="6" fillId="0" borderId="111" xfId="0" applyNumberFormat="1" applyFont="1" applyFill="1" applyBorder="1" applyAlignment="1" applyProtection="1">
      <alignment vertical="center"/>
      <protection/>
    </xf>
    <xf numFmtId="206" fontId="6" fillId="0" borderId="88" xfId="59" applyNumberFormat="1" applyFont="1" applyFill="1" applyBorder="1" applyProtection="1">
      <alignment/>
      <protection/>
    </xf>
    <xf numFmtId="206" fontId="6" fillId="0" borderId="91" xfId="59" applyNumberFormat="1" applyFont="1" applyFill="1" applyBorder="1" applyProtection="1">
      <alignment/>
      <protection/>
    </xf>
    <xf numFmtId="206" fontId="6" fillId="0" borderId="68" xfId="59" applyNumberFormat="1" applyFont="1" applyFill="1" applyBorder="1" applyProtection="1">
      <alignment/>
      <protection/>
    </xf>
    <xf numFmtId="206" fontId="6" fillId="0" borderId="92" xfId="59" applyNumberFormat="1" applyFont="1" applyFill="1" applyBorder="1" applyProtection="1">
      <alignment/>
      <protection/>
    </xf>
    <xf numFmtId="206" fontId="6" fillId="0" borderId="107" xfId="59" applyNumberFormat="1" applyFont="1" applyFill="1" applyBorder="1" applyProtection="1">
      <alignment/>
      <protection/>
    </xf>
    <xf numFmtId="206" fontId="6" fillId="0" borderId="108" xfId="59" applyNumberFormat="1" applyFont="1" applyFill="1" applyBorder="1" applyProtection="1">
      <alignment/>
      <protection/>
    </xf>
    <xf numFmtId="206" fontId="6" fillId="0" borderId="83" xfId="60" applyNumberFormat="1" applyFont="1" applyFill="1" applyBorder="1" applyAlignment="1" applyProtection="1">
      <alignment/>
      <protection/>
    </xf>
    <xf numFmtId="206" fontId="6" fillId="0" borderId="72" xfId="60" applyNumberFormat="1" applyFont="1" applyFill="1" applyBorder="1" applyAlignment="1" applyProtection="1">
      <alignment/>
      <protection/>
    </xf>
    <xf numFmtId="206" fontId="6" fillId="24" borderId="107" xfId="60" applyNumberFormat="1" applyFont="1" applyFill="1" applyBorder="1" applyAlignment="1">
      <alignment/>
      <protection/>
    </xf>
    <xf numFmtId="206" fontId="6" fillId="24" borderId="109" xfId="60" applyNumberFormat="1" applyFont="1" applyFill="1" applyBorder="1" applyAlignment="1">
      <alignment/>
      <protection/>
    </xf>
    <xf numFmtId="206" fontId="6" fillId="24" borderId="108" xfId="60" applyNumberFormat="1" applyFont="1" applyFill="1" applyBorder="1" applyAlignment="1">
      <alignment/>
      <protection/>
    </xf>
    <xf numFmtId="206" fontId="6" fillId="24" borderId="107" xfId="61" applyNumberFormat="1" applyFont="1" applyFill="1" applyBorder="1">
      <alignment/>
      <protection/>
    </xf>
    <xf numFmtId="206" fontId="6" fillId="24" borderId="108" xfId="61" applyNumberFormat="1" applyFont="1" applyFill="1" applyBorder="1">
      <alignment/>
      <protection/>
    </xf>
    <xf numFmtId="206" fontId="6" fillId="24" borderId="109" xfId="61" applyNumberFormat="1" applyFont="1" applyFill="1" applyBorder="1">
      <alignment/>
      <protection/>
    </xf>
    <xf numFmtId="206" fontId="6" fillId="24" borderId="82" xfId="61" applyNumberFormat="1" applyFont="1" applyFill="1" applyBorder="1">
      <alignment/>
      <protection/>
    </xf>
    <xf numFmtId="206" fontId="6" fillId="24" borderId="112" xfId="61" applyNumberFormat="1" applyFont="1" applyFill="1" applyBorder="1">
      <alignment/>
      <protection/>
    </xf>
    <xf numFmtId="206" fontId="6" fillId="24" borderId="70" xfId="61" applyNumberFormat="1" applyFont="1" applyFill="1" applyBorder="1">
      <alignment/>
      <protection/>
    </xf>
    <xf numFmtId="206" fontId="6" fillId="24" borderId="88" xfId="62" applyNumberFormat="1" applyFont="1" applyFill="1" applyBorder="1">
      <alignment/>
      <protection/>
    </xf>
    <xf numFmtId="206" fontId="6" fillId="24" borderId="112" xfId="62" applyNumberFormat="1" applyFont="1" applyFill="1" applyBorder="1">
      <alignment/>
      <protection/>
    </xf>
    <xf numFmtId="206" fontId="6" fillId="24" borderId="68" xfId="62" applyNumberFormat="1" applyFont="1" applyFill="1" applyBorder="1">
      <alignment/>
      <protection/>
    </xf>
    <xf numFmtId="206" fontId="6" fillId="24" borderId="70" xfId="62" applyNumberFormat="1" applyFont="1" applyFill="1" applyBorder="1">
      <alignment/>
      <protection/>
    </xf>
    <xf numFmtId="206" fontId="6" fillId="24" borderId="107" xfId="62" applyNumberFormat="1" applyFont="1" applyFill="1" applyBorder="1">
      <alignment/>
      <protection/>
    </xf>
    <xf numFmtId="206" fontId="6" fillId="24" borderId="109" xfId="62" applyNumberFormat="1" applyFont="1" applyFill="1" applyBorder="1">
      <alignment/>
      <protection/>
    </xf>
    <xf numFmtId="206" fontId="6" fillId="24" borderId="108" xfId="62" applyNumberFormat="1" applyFont="1" applyFill="1" applyBorder="1">
      <alignment/>
      <protection/>
    </xf>
    <xf numFmtId="206" fontId="6" fillId="24" borderId="83" xfId="63" applyNumberFormat="1" applyFont="1" applyFill="1" applyBorder="1" applyAlignment="1">
      <alignment/>
      <protection/>
    </xf>
    <xf numFmtId="206" fontId="6" fillId="24" borderId="79" xfId="63" applyNumberFormat="1" applyFont="1" applyFill="1" applyBorder="1" applyAlignment="1">
      <alignment/>
      <protection/>
    </xf>
    <xf numFmtId="206" fontId="6" fillId="24" borderId="107" xfId="63" applyNumberFormat="1" applyFont="1" applyFill="1" applyBorder="1" applyAlignment="1">
      <alignment/>
      <protection/>
    </xf>
    <xf numFmtId="206" fontId="6" fillId="24" borderId="108" xfId="63" applyNumberFormat="1" applyFont="1" applyFill="1" applyBorder="1" applyAlignment="1">
      <alignment/>
      <protection/>
    </xf>
    <xf numFmtId="206" fontId="6" fillId="24" borderId="88" xfId="0" applyNumberFormat="1" applyFont="1" applyFill="1" applyBorder="1" applyAlignment="1">
      <alignment/>
    </xf>
    <xf numFmtId="206" fontId="6" fillId="24" borderId="91" xfId="0" applyNumberFormat="1" applyFont="1" applyFill="1" applyBorder="1" applyAlignment="1">
      <alignment/>
    </xf>
    <xf numFmtId="206" fontId="6" fillId="24" borderId="68" xfId="0" applyNumberFormat="1" applyFont="1" applyFill="1" applyBorder="1" applyAlignment="1">
      <alignment/>
    </xf>
    <xf numFmtId="206" fontId="6" fillId="24" borderId="92" xfId="0" applyNumberFormat="1" applyFont="1" applyFill="1" applyBorder="1" applyAlignment="1">
      <alignment/>
    </xf>
    <xf numFmtId="206" fontId="6" fillId="0" borderId="107"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0" borderId="108" xfId="0" applyNumberFormat="1" applyFont="1" applyFill="1" applyBorder="1" applyAlignment="1" applyProtection="1">
      <alignment/>
      <protection/>
    </xf>
    <xf numFmtId="206" fontId="6" fillId="24" borderId="107" xfId="64" applyNumberFormat="1" applyFont="1" applyFill="1" applyBorder="1">
      <alignment/>
      <protection/>
    </xf>
    <xf numFmtId="206" fontId="6" fillId="24" borderId="108" xfId="64" applyNumberFormat="1" applyFont="1" applyFill="1" applyBorder="1">
      <alignment/>
      <protection/>
    </xf>
    <xf numFmtId="206" fontId="6" fillId="24" borderId="109" xfId="64" applyNumberFormat="1" applyFont="1" applyFill="1" applyBorder="1">
      <alignment/>
      <protection/>
    </xf>
    <xf numFmtId="0" fontId="6" fillId="0" borderId="113" xfId="64"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7" xfId="0" applyNumberFormat="1" applyFont="1" applyFill="1" applyBorder="1" applyAlignment="1">
      <alignment/>
    </xf>
    <xf numFmtId="206" fontId="6" fillId="24" borderId="107" xfId="0" applyNumberFormat="1" applyFont="1" applyFill="1" applyBorder="1" applyAlignment="1">
      <alignment/>
    </xf>
    <xf numFmtId="206" fontId="6" fillId="24" borderId="70" xfId="0" applyNumberFormat="1" applyFont="1" applyFill="1" applyBorder="1" applyAlignment="1">
      <alignment/>
    </xf>
    <xf numFmtId="0" fontId="20" fillId="0" borderId="27" xfId="64" applyFont="1" applyFill="1" applyBorder="1" applyAlignment="1">
      <alignment horizontal="center"/>
      <protection/>
    </xf>
    <xf numFmtId="0" fontId="34" fillId="0" borderId="0" xfId="57" applyNumberFormat="1" applyAlignment="1" applyProtection="1">
      <alignment vertical="center"/>
      <protection locked="0"/>
    </xf>
    <xf numFmtId="0" fontId="25" fillId="0" borderId="116" xfId="0" applyFont="1" applyBorder="1" applyAlignment="1">
      <alignment horizontal="left" vertical="center" wrapText="1"/>
    </xf>
    <xf numFmtId="0" fontId="7" fillId="0" borderId="40" xfId="0" applyFont="1" applyFill="1" applyBorder="1" applyAlignment="1" applyProtection="1">
      <alignment horizontal="left"/>
      <protection/>
    </xf>
    <xf numFmtId="0" fontId="28" fillId="0" borderId="23" xfId="0" applyFont="1" applyFill="1" applyBorder="1" applyAlignment="1">
      <alignment horizontal="center"/>
    </xf>
    <xf numFmtId="0" fontId="48" fillId="0" borderId="32" xfId="0" applyFont="1" applyFill="1" applyBorder="1" applyAlignment="1">
      <alignment horizontal="center" vertical="center" wrapText="1"/>
    </xf>
    <xf numFmtId="0" fontId="48" fillId="0" borderId="117" xfId="0" applyFont="1" applyFill="1" applyBorder="1" applyAlignment="1">
      <alignment horizontal="center" vertical="center" wrapText="1"/>
    </xf>
    <xf numFmtId="0" fontId="49" fillId="0" borderId="0" xfId="0" applyFont="1" applyAlignment="1">
      <alignment/>
    </xf>
    <xf numFmtId="0" fontId="18" fillId="0" borderId="18" xfId="64" applyFont="1" applyFill="1" applyBorder="1" applyAlignment="1" applyProtection="1">
      <alignment horizontal="centerContinuous" vertical="center" wrapText="1"/>
      <protection/>
    </xf>
    <xf numFmtId="0" fontId="6" fillId="0" borderId="19" xfId="64" applyFont="1" applyFill="1" applyBorder="1" applyAlignment="1">
      <alignment horizontal="centerContinuous" vertical="center" wrapText="1"/>
      <protection/>
    </xf>
    <xf numFmtId="2" fontId="6" fillId="0" borderId="118" xfId="0" applyNumberFormat="1" applyFont="1" applyBorder="1" applyAlignment="1">
      <alignment horizontal="center" vertical="center" wrapText="1"/>
    </xf>
    <xf numFmtId="179" fontId="13" fillId="0" borderId="0" xfId="57" applyFont="1" applyAlignment="1" applyProtection="1">
      <alignment horizontal="left" vertical="center" wrapText="1"/>
      <protection/>
    </xf>
    <xf numFmtId="204" fontId="34" fillId="0" borderId="0" xfId="57" applyNumberFormat="1" applyFont="1" applyFill="1" applyAlignment="1" applyProtection="1">
      <alignment vertical="center"/>
      <protection/>
    </xf>
    <xf numFmtId="204" fontId="35" fillId="0" borderId="0" xfId="57" applyNumberFormat="1" applyFont="1" applyFill="1" applyAlignment="1" applyProtection="1">
      <alignment vertical="center"/>
      <protection/>
    </xf>
    <xf numFmtId="179" fontId="51" fillId="0" borderId="0" xfId="57" applyFont="1" applyAlignment="1">
      <alignment horizontal="center" vertical="center" wrapText="1"/>
      <protection/>
    </xf>
    <xf numFmtId="0" fontId="51" fillId="0" borderId="0" xfId="57" applyNumberFormat="1" applyFont="1" applyAlignment="1">
      <alignment horizontal="center" vertical="center" wrapText="1"/>
      <protection/>
    </xf>
    <xf numFmtId="49" fontId="53" fillId="0" borderId="60" xfId="36" applyNumberFormat="1" applyFont="1" applyBorder="1" applyAlignment="1" applyProtection="1">
      <alignment horizontal="left" vertical="center"/>
      <protection locked="0"/>
    </xf>
    <xf numFmtId="0" fontId="34" fillId="0" borderId="0" xfId="57" applyNumberFormat="1" applyAlignment="1">
      <alignment vertical="center"/>
      <protection/>
    </xf>
    <xf numFmtId="179" fontId="13" fillId="0" borderId="0" xfId="57" applyFont="1" applyBorder="1" applyAlignment="1" applyProtection="1">
      <alignment horizontal="left" vertical="center" wrapText="1"/>
      <protection/>
    </xf>
    <xf numFmtId="179" fontId="34" fillId="0" borderId="0" xfId="57" applyFont="1" applyAlignment="1">
      <alignment vertical="center"/>
      <protection/>
    </xf>
    <xf numFmtId="179" fontId="54" fillId="0" borderId="0" xfId="57" applyFont="1" applyAlignment="1" applyProtection="1">
      <alignment vertical="center"/>
      <protection/>
    </xf>
    <xf numFmtId="179" fontId="54" fillId="0" borderId="0" xfId="57" applyFont="1" applyAlignment="1">
      <alignment vertical="center"/>
      <protection/>
    </xf>
    <xf numFmtId="0" fontId="6" fillId="0" borderId="119" xfId="0" applyFont="1" applyFill="1" applyBorder="1" applyAlignment="1" applyProtection="1">
      <alignment horizontal="left"/>
      <protection/>
    </xf>
    <xf numFmtId="3" fontId="6" fillId="24" borderId="120" xfId="0" applyNumberFormat="1" applyFont="1" applyFill="1" applyBorder="1" applyAlignment="1">
      <alignment horizontal="center"/>
    </xf>
    <xf numFmtId="0" fontId="9" fillId="0" borderId="121" xfId="0" applyFont="1" applyFill="1" applyBorder="1" applyAlignment="1" applyProtection="1">
      <alignment horizontal="center"/>
      <protection/>
    </xf>
    <xf numFmtId="3" fontId="9" fillId="0" borderId="122" xfId="0" applyNumberFormat="1" applyFont="1" applyBorder="1" applyAlignment="1">
      <alignment horizontal="center"/>
    </xf>
    <xf numFmtId="2" fontId="6" fillId="0" borderId="28" xfId="46" applyNumberFormat="1" applyFont="1" applyFill="1" applyBorder="1" applyAlignment="1" applyProtection="1">
      <alignment/>
      <protection locked="0"/>
    </xf>
    <xf numFmtId="2" fontId="6" fillId="0" borderId="49" xfId="46" applyNumberFormat="1" applyFont="1" applyFill="1" applyBorder="1" applyAlignment="1" applyProtection="1">
      <alignment/>
      <protection locked="0"/>
    </xf>
    <xf numFmtId="2" fontId="6" fillId="0" borderId="92" xfId="46" applyNumberFormat="1" applyFont="1" applyFill="1" applyBorder="1" applyAlignment="1" applyProtection="1">
      <alignment/>
      <protection locked="0"/>
    </xf>
    <xf numFmtId="2" fontId="6" fillId="0" borderId="79" xfId="46" applyNumberFormat="1" applyFont="1" applyFill="1" applyBorder="1" applyAlignment="1" applyProtection="1">
      <alignment/>
      <protection locked="0"/>
    </xf>
    <xf numFmtId="2" fontId="6" fillId="0" borderId="72" xfId="46" applyNumberFormat="1" applyFont="1" applyFill="1" applyBorder="1" applyAlignment="1" applyProtection="1">
      <alignment/>
      <protection locked="0"/>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42" xfId="0" applyFont="1" applyFill="1" applyBorder="1" applyAlignment="1" applyProtection="1">
      <alignment horizontal="center"/>
      <protection/>
    </xf>
    <xf numFmtId="2" fontId="6" fillId="0" borderId="104" xfId="46" applyNumberFormat="1" applyFont="1" applyFill="1" applyBorder="1" applyAlignment="1" applyProtection="1">
      <alignment/>
      <protection locked="0"/>
    </xf>
    <xf numFmtId="214" fontId="6" fillId="0" borderId="107" xfId="46" applyNumberFormat="1" applyFont="1" applyFill="1" applyBorder="1" applyAlignment="1">
      <alignment/>
    </xf>
    <xf numFmtId="214" fontId="6" fillId="0" borderId="108" xfId="46" applyNumberFormat="1" applyFont="1" applyFill="1" applyBorder="1" applyAlignment="1">
      <alignment/>
    </xf>
    <xf numFmtId="214" fontId="6" fillId="0" borderId="109" xfId="46" applyNumberFormat="1" applyFont="1" applyFill="1" applyBorder="1" applyAlignment="1">
      <alignment/>
    </xf>
    <xf numFmtId="214" fontId="6" fillId="24" borderId="114" xfId="0" applyNumberFormat="1" applyFont="1" applyFill="1" applyBorder="1" applyAlignment="1">
      <alignment/>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3" xfId="0" applyFont="1" applyBorder="1" applyAlignment="1">
      <alignment horizontal="center" vertical="center" wrapText="1"/>
    </xf>
    <xf numFmtId="179" fontId="17" fillId="0" borderId="0" xfId="57" applyFont="1" applyAlignment="1" applyProtection="1">
      <alignment vertical="top"/>
      <protection/>
    </xf>
    <xf numFmtId="179" fontId="17" fillId="0" borderId="0" xfId="57" applyFont="1" applyAlignment="1">
      <alignment vertical="top"/>
      <protection/>
    </xf>
    <xf numFmtId="206" fontId="6" fillId="0" borderId="124" xfId="59" applyNumberFormat="1" applyFont="1" applyFill="1" applyBorder="1">
      <alignment/>
      <protection/>
    </xf>
    <xf numFmtId="3" fontId="6" fillId="0" borderId="59" xfId="59" applyNumberFormat="1" applyFont="1" applyFill="1" applyBorder="1" applyProtection="1">
      <alignment/>
      <protection locked="0"/>
    </xf>
    <xf numFmtId="206" fontId="6" fillId="0" borderId="30" xfId="59" applyNumberFormat="1" applyFont="1" applyFill="1" applyBorder="1">
      <alignment/>
      <protection/>
    </xf>
    <xf numFmtId="3" fontId="6" fillId="0" borderId="88" xfId="59" applyNumberFormat="1" applyFont="1" applyFill="1" applyBorder="1" applyProtection="1">
      <alignment/>
      <protection locked="0"/>
    </xf>
    <xf numFmtId="206" fontId="6" fillId="0" borderId="124" xfId="59" applyNumberFormat="1" applyFont="1" applyFill="1" applyBorder="1" applyProtection="1">
      <alignment/>
      <protection/>
    </xf>
    <xf numFmtId="3" fontId="6" fillId="0" borderId="68" xfId="59" applyNumberFormat="1" applyFont="1" applyFill="1" applyBorder="1" applyProtection="1">
      <alignment/>
      <protection locked="0"/>
    </xf>
    <xf numFmtId="3" fontId="6" fillId="0" borderId="125" xfId="63" applyNumberFormat="1" applyFont="1" applyFill="1" applyBorder="1" applyAlignment="1" applyProtection="1">
      <alignment/>
      <protection locked="0"/>
    </xf>
    <xf numFmtId="3" fontId="6" fillId="0" borderId="80" xfId="63" applyNumberFormat="1" applyFont="1" applyFill="1" applyBorder="1" applyAlignment="1" applyProtection="1">
      <alignment/>
      <protection locked="0"/>
    </xf>
    <xf numFmtId="206" fontId="6" fillId="24" borderId="124" xfId="63" applyNumberFormat="1" applyFont="1" applyFill="1" applyBorder="1" applyAlignment="1">
      <alignment/>
      <protection/>
    </xf>
    <xf numFmtId="206" fontId="6" fillId="24" borderId="126" xfId="63" applyNumberFormat="1" applyFont="1" applyFill="1" applyBorder="1" applyAlignment="1">
      <alignment/>
      <protection/>
    </xf>
    <xf numFmtId="0" fontId="18" fillId="0" borderId="25" xfId="63" applyFont="1" applyFill="1" applyBorder="1" applyAlignment="1" applyProtection="1">
      <alignment horizontal="centerContinuous" vertical="center" wrapText="1"/>
      <protection/>
    </xf>
    <xf numFmtId="0" fontId="6" fillId="0" borderId="26" xfId="63" applyFont="1" applyFill="1" applyBorder="1" applyAlignment="1" applyProtection="1">
      <alignment horizontal="centerContinuous" vertical="center" wrapText="1"/>
      <protection/>
    </xf>
    <xf numFmtId="206" fontId="6" fillId="24" borderId="127" xfId="63" applyNumberFormat="1" applyFont="1" applyFill="1" applyBorder="1" applyAlignment="1">
      <alignment/>
      <protection/>
    </xf>
    <xf numFmtId="0" fontId="19" fillId="0" borderId="128" xfId="63" applyFont="1" applyFill="1" applyBorder="1" applyAlignment="1" applyProtection="1">
      <alignment horizontal="centerContinuous" vertical="center" wrapText="1"/>
      <protection/>
    </xf>
    <xf numFmtId="0" fontId="19" fillId="0" borderId="129" xfId="63" applyFont="1" applyFill="1" applyBorder="1" applyAlignment="1" applyProtection="1">
      <alignment horizontal="centerContinuous" vertical="center" wrapText="1"/>
      <protection/>
    </xf>
    <xf numFmtId="206" fontId="6" fillId="24" borderId="130" xfId="63" applyNumberFormat="1" applyFont="1" applyFill="1" applyBorder="1" applyAlignment="1">
      <alignment/>
      <protection/>
    </xf>
    <xf numFmtId="206" fontId="0" fillId="0" borderId="131" xfId="0" applyNumberFormat="1" applyBorder="1" applyAlignment="1">
      <alignment/>
    </xf>
    <xf numFmtId="206" fontId="6" fillId="0" borderId="109" xfId="59" applyNumberFormat="1" applyFont="1" applyFill="1" applyBorder="1" applyProtection="1">
      <alignment/>
      <protection/>
    </xf>
    <xf numFmtId="206" fontId="6" fillId="24" borderId="114" xfId="60" applyNumberFormat="1" applyFont="1" applyFill="1" applyBorder="1" applyAlignment="1">
      <alignment/>
      <protection/>
    </xf>
    <xf numFmtId="206" fontId="6" fillId="24" borderId="83" xfId="64" applyNumberFormat="1" applyFont="1" applyFill="1" applyBorder="1">
      <alignment/>
      <protection/>
    </xf>
    <xf numFmtId="0" fontId="20" fillId="0" borderId="95" xfId="64" applyFont="1" applyFill="1" applyBorder="1" applyAlignment="1" applyProtection="1">
      <alignment horizontal="center"/>
      <protection/>
    </xf>
    <xf numFmtId="206" fontId="6" fillId="24" borderId="79" xfId="64" applyNumberFormat="1" applyFont="1" applyFill="1" applyBorder="1">
      <alignment/>
      <protection/>
    </xf>
    <xf numFmtId="179" fontId="13" fillId="0" borderId="0" xfId="57" applyFont="1" applyFill="1" applyBorder="1" applyAlignment="1" applyProtection="1">
      <alignment vertical="center"/>
      <protection locked="0"/>
    </xf>
    <xf numFmtId="179" fontId="34" fillId="24" borderId="0" xfId="57" applyFont="1" applyFill="1" applyAlignment="1" applyProtection="1">
      <alignment vertical="center"/>
      <protection/>
    </xf>
    <xf numFmtId="179" fontId="17" fillId="24" borderId="0" xfId="57" applyFont="1" applyFill="1" applyAlignment="1" applyProtection="1">
      <alignment vertical="center"/>
      <protection/>
    </xf>
    <xf numFmtId="0" fontId="0" fillId="24" borderId="0" xfId="0" applyFill="1" applyAlignment="1" applyProtection="1">
      <alignment/>
      <protection/>
    </xf>
    <xf numFmtId="179" fontId="44" fillId="24" borderId="0" xfId="57" applyFont="1" applyFill="1" applyAlignment="1" applyProtection="1">
      <alignment vertical="center"/>
      <protection/>
    </xf>
    <xf numFmtId="179" fontId="13" fillId="24" borderId="0" xfId="57" applyFont="1" applyFill="1" applyAlignment="1" applyProtection="1">
      <alignment vertical="center"/>
      <protection/>
    </xf>
    <xf numFmtId="179" fontId="13" fillId="24" borderId="0" xfId="57" applyFont="1" applyFill="1" applyAlignment="1" applyProtection="1">
      <alignment horizontal="left" vertical="center"/>
      <protection/>
    </xf>
    <xf numFmtId="179" fontId="22" fillId="24" borderId="0" xfId="57" applyFont="1" applyFill="1" applyAlignment="1" applyProtection="1">
      <alignment horizontal="left" vertical="center"/>
      <protection/>
    </xf>
    <xf numFmtId="179" fontId="17" fillId="24" borderId="0" xfId="57" applyFont="1" applyFill="1" applyAlignment="1" applyProtection="1">
      <alignment horizontal="left" vertical="center"/>
      <protection/>
    </xf>
    <xf numFmtId="179" fontId="22" fillId="24" borderId="0" xfId="57" applyFont="1" applyFill="1" applyAlignment="1" applyProtection="1">
      <alignment vertical="center"/>
      <protection/>
    </xf>
    <xf numFmtId="179" fontId="55" fillId="24" borderId="0" xfId="57" applyFont="1" applyFill="1" applyAlignment="1" applyProtection="1">
      <alignment vertical="center"/>
      <protection/>
    </xf>
    <xf numFmtId="179" fontId="13" fillId="24" borderId="0" xfId="57" applyFont="1" applyFill="1" applyBorder="1" applyAlignment="1" applyProtection="1">
      <alignment horizontal="left" vertical="center"/>
      <protection/>
    </xf>
    <xf numFmtId="179" fontId="13" fillId="24" borderId="0" xfId="57" applyFont="1" applyFill="1" applyBorder="1" applyAlignment="1" applyProtection="1">
      <alignment vertical="center"/>
      <protection/>
    </xf>
    <xf numFmtId="0" fontId="55" fillId="24" borderId="0" xfId="58" applyFont="1" applyFill="1" applyAlignment="1" applyProtection="1">
      <alignment vertical="center"/>
      <protection/>
    </xf>
    <xf numFmtId="0" fontId="13" fillId="24" borderId="0" xfId="58" applyFont="1" applyFill="1" applyAlignment="1" applyProtection="1">
      <alignment vertical="center"/>
      <protection/>
    </xf>
    <xf numFmtId="179" fontId="17" fillId="24" borderId="0" xfId="57" applyFont="1" applyFill="1" applyBorder="1" applyAlignment="1" applyProtection="1">
      <alignment vertical="center"/>
      <protection/>
    </xf>
    <xf numFmtId="179" fontId="17" fillId="24" borderId="116" xfId="57" applyFont="1" applyFill="1" applyBorder="1" applyAlignment="1" applyProtection="1">
      <alignment vertical="center"/>
      <protection/>
    </xf>
    <xf numFmtId="179" fontId="47" fillId="24" borderId="116" xfId="57" applyFont="1" applyFill="1" applyBorder="1" applyAlignment="1" applyProtection="1">
      <alignment vertical="center"/>
      <protection/>
    </xf>
    <xf numFmtId="179" fontId="55" fillId="24" borderId="80" xfId="57" applyFont="1" applyFill="1" applyBorder="1" applyAlignment="1" applyProtection="1">
      <alignment vertical="center"/>
      <protection/>
    </xf>
    <xf numFmtId="179" fontId="13" fillId="24" borderId="80" xfId="57" applyFont="1" applyFill="1" applyBorder="1" applyAlignment="1" applyProtection="1">
      <alignment vertical="center"/>
      <protection/>
    </xf>
    <xf numFmtId="179" fontId="34" fillId="24" borderId="116" xfId="57" applyFont="1" applyFill="1" applyBorder="1" applyAlignment="1" applyProtection="1">
      <alignment vertical="center"/>
      <protection/>
    </xf>
    <xf numFmtId="179" fontId="13" fillId="0" borderId="0" xfId="57" applyFont="1" applyFill="1" applyBorder="1" applyAlignment="1" applyProtection="1">
      <alignment vertical="center"/>
      <protection/>
    </xf>
    <xf numFmtId="179" fontId="34" fillId="0" borderId="0" xfId="57" applyBorder="1" applyAlignment="1">
      <alignment vertical="center"/>
      <protection/>
    </xf>
    <xf numFmtId="179" fontId="34" fillId="0" borderId="0" xfId="57" applyAlignment="1" applyProtection="1">
      <alignment vertical="center"/>
      <protection locked="0"/>
    </xf>
    <xf numFmtId="204" fontId="34" fillId="24" borderId="132" xfId="57" applyNumberFormat="1" applyFont="1" applyFill="1" applyBorder="1" applyAlignment="1" applyProtection="1">
      <alignment vertical="center"/>
      <protection/>
    </xf>
    <xf numFmtId="204" fontId="34" fillId="24" borderId="133" xfId="57" applyNumberFormat="1" applyFont="1" applyFill="1" applyBorder="1" applyAlignment="1" applyProtection="1">
      <alignment vertical="center"/>
      <protection/>
    </xf>
    <xf numFmtId="179" fontId="34" fillId="24" borderId="132" xfId="57" applyFill="1" applyBorder="1" applyAlignment="1" applyProtection="1">
      <alignment vertical="center"/>
      <protection/>
    </xf>
    <xf numFmtId="179" fontId="22" fillId="16" borderId="36" xfId="57" applyFont="1" applyFill="1" applyBorder="1" applyAlignment="1" applyProtection="1">
      <alignment horizontal="center" vertical="center"/>
      <protection/>
    </xf>
    <xf numFmtId="0" fontId="22" fillId="24" borderId="0" xfId="0" applyFont="1" applyFill="1" applyAlignment="1" applyProtection="1">
      <alignment/>
      <protection/>
    </xf>
    <xf numFmtId="179" fontId="13" fillId="24" borderId="132" xfId="57" applyFont="1" applyFill="1" applyBorder="1" applyAlignment="1" applyProtection="1">
      <alignment vertical="center"/>
      <protection/>
    </xf>
    <xf numFmtId="0" fontId="13" fillId="24" borderId="132" xfId="58" applyFont="1" applyFill="1" applyBorder="1" applyAlignment="1" applyProtection="1">
      <alignment vertical="center"/>
      <protection/>
    </xf>
    <xf numFmtId="179" fontId="13" fillId="24" borderId="82" xfId="57" applyFont="1" applyFill="1" applyBorder="1" applyAlignment="1" applyProtection="1">
      <alignment vertical="center"/>
      <protection/>
    </xf>
    <xf numFmtId="1" fontId="13" fillId="22" borderId="36" xfId="57" applyNumberFormat="1" applyFont="1" applyFill="1" applyBorder="1" applyAlignment="1" applyProtection="1">
      <alignment vertical="center"/>
      <protection locked="0"/>
    </xf>
    <xf numFmtId="1" fontId="13" fillId="22" borderId="36" xfId="58" applyNumberFormat="1" applyFont="1" applyFill="1" applyBorder="1" applyAlignment="1" applyProtection="1">
      <alignment vertical="center"/>
      <protection locked="0"/>
    </xf>
    <xf numFmtId="49" fontId="17" fillId="24" borderId="23" xfId="55" applyNumberFormat="1" applyFont="1" applyFill="1" applyBorder="1" applyAlignment="1" applyProtection="1">
      <alignment horizontal="left" vertical="center"/>
      <protection locked="0"/>
    </xf>
    <xf numFmtId="49" fontId="17" fillId="24" borderId="0" xfId="55" applyNumberFormat="1" applyFont="1" applyFill="1" applyBorder="1" applyAlignment="1" applyProtection="1">
      <alignment horizontal="left" vertical="center"/>
      <protection locked="0"/>
    </xf>
    <xf numFmtId="0" fontId="51" fillId="0" borderId="0" xfId="57" applyNumberFormat="1" applyFont="1" applyBorder="1" applyAlignment="1">
      <alignment horizontal="center" vertical="center" wrapText="1"/>
      <protection/>
    </xf>
    <xf numFmtId="1" fontId="34" fillId="0" borderId="0" xfId="57"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59" fillId="24" borderId="0" xfId="0" applyFont="1" applyFill="1" applyBorder="1" applyAlignment="1">
      <alignment horizontal="center"/>
    </xf>
    <xf numFmtId="0" fontId="60" fillId="24" borderId="0" xfId="0" applyFont="1" applyFill="1" applyBorder="1" applyAlignment="1">
      <alignment horizontal="center"/>
    </xf>
    <xf numFmtId="204" fontId="0" fillId="24" borderId="0" xfId="0" applyNumberFormat="1" applyFill="1" applyAlignment="1">
      <alignment/>
    </xf>
    <xf numFmtId="0" fontId="61" fillId="24" borderId="0" xfId="0" applyFont="1" applyFill="1" applyAlignment="1">
      <alignment/>
    </xf>
    <xf numFmtId="204" fontId="0" fillId="24" borderId="0" xfId="0" applyNumberFormat="1" applyFill="1" applyBorder="1" applyAlignment="1">
      <alignment/>
    </xf>
    <xf numFmtId="0" fontId="62" fillId="24" borderId="0" xfId="0" applyFont="1" applyFill="1" applyBorder="1" applyAlignment="1">
      <alignment horizontal="right"/>
    </xf>
    <xf numFmtId="0" fontId="0" fillId="24" borderId="0" xfId="0" applyFill="1" applyBorder="1" applyAlignment="1">
      <alignment/>
    </xf>
    <xf numFmtId="0" fontId="56" fillId="24" borderId="0" xfId="0" applyFont="1" applyFill="1" applyAlignment="1">
      <alignment/>
    </xf>
    <xf numFmtId="0" fontId="25" fillId="24" borderId="36" xfId="0" applyFont="1" applyFill="1" applyBorder="1" applyAlignment="1">
      <alignment horizontal="center" wrapText="1"/>
    </xf>
    <xf numFmtId="0" fontId="25" fillId="24" borderId="36" xfId="0" applyFont="1" applyFill="1" applyBorder="1" applyAlignment="1">
      <alignment horizontal="center"/>
    </xf>
    <xf numFmtId="0" fontId="25" fillId="24" borderId="83" xfId="0" applyFont="1" applyFill="1" applyBorder="1" applyAlignment="1">
      <alignment horizontal="center" wrapText="1"/>
    </xf>
    <xf numFmtId="0" fontId="25" fillId="24" borderId="79"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9" fontId="8" fillId="0" borderId="0" xfId="57"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71"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7" fillId="0" borderId="0" xfId="57" applyNumberFormat="1" applyFont="1" applyAlignment="1" applyProtection="1">
      <alignment vertical="center"/>
      <protection/>
    </xf>
    <xf numFmtId="1" fontId="0" fillId="24" borderId="0" xfId="0" applyNumberFormat="1" applyFill="1" applyBorder="1" applyAlignment="1" applyProtection="1">
      <alignment/>
      <protection/>
    </xf>
    <xf numFmtId="179" fontId="34" fillId="24" borderId="0" xfId="57" applyFill="1" applyAlignment="1" applyProtection="1">
      <alignment vertical="center"/>
      <protection/>
    </xf>
    <xf numFmtId="0" fontId="17" fillId="24" borderId="0" xfId="58" applyFill="1" applyAlignment="1" applyProtection="1">
      <alignment vertical="center"/>
      <protection/>
    </xf>
    <xf numFmtId="1" fontId="17" fillId="22" borderId="36" xfId="57" applyNumberFormat="1" applyFont="1" applyFill="1" applyBorder="1" applyAlignment="1" applyProtection="1">
      <alignment vertical="center"/>
      <protection locked="0"/>
    </xf>
    <xf numFmtId="179" fontId="34" fillId="0" borderId="0" xfId="57" applyBorder="1" applyAlignment="1" applyProtection="1">
      <alignment vertical="center"/>
      <protection/>
    </xf>
    <xf numFmtId="3" fontId="7" fillId="24" borderId="36" xfId="0" applyNumberFormat="1" applyFont="1" applyFill="1" applyBorder="1" applyAlignment="1" applyProtection="1">
      <alignment wrapText="1"/>
      <protection locked="0"/>
    </xf>
    <xf numFmtId="3" fontId="7" fillId="24" borderId="36" xfId="0" applyNumberFormat="1" applyFont="1" applyFill="1" applyBorder="1" applyAlignment="1" applyProtection="1">
      <alignment/>
      <protection locked="0"/>
    </xf>
    <xf numFmtId="3" fontId="7" fillId="24" borderId="83" xfId="0" applyNumberFormat="1" applyFont="1" applyFill="1" applyBorder="1" applyAlignment="1" applyProtection="1">
      <alignment/>
      <protection locked="0"/>
    </xf>
    <xf numFmtId="3" fontId="7" fillId="24" borderId="79" xfId="0" applyNumberFormat="1" applyFont="1" applyFill="1" applyBorder="1" applyAlignment="1" applyProtection="1">
      <alignment/>
      <protection locked="0"/>
    </xf>
    <xf numFmtId="3" fontId="7" fillId="24" borderId="83" xfId="0" applyNumberFormat="1" applyFont="1" applyFill="1" applyBorder="1" applyAlignment="1" applyProtection="1">
      <alignment horizontal="right"/>
      <protection locked="0"/>
    </xf>
    <xf numFmtId="206" fontId="7" fillId="24" borderId="68" xfId="0" applyNumberFormat="1" applyFont="1" applyFill="1" applyBorder="1" applyAlignment="1">
      <alignment horizontal="right"/>
    </xf>
    <xf numFmtId="206" fontId="7" fillId="24" borderId="52" xfId="0" applyNumberFormat="1" applyFont="1" applyFill="1" applyBorder="1" applyAlignment="1">
      <alignment horizontal="right"/>
    </xf>
    <xf numFmtId="206" fontId="7" fillId="24" borderId="49" xfId="0" applyNumberFormat="1" applyFont="1" applyFill="1" applyBorder="1" applyAlignment="1">
      <alignment horizontal="right"/>
    </xf>
    <xf numFmtId="3" fontId="6" fillId="0" borderId="81" xfId="60" applyNumberFormat="1" applyFont="1" applyFill="1" applyBorder="1" applyProtection="1">
      <alignment/>
      <protection locked="0"/>
    </xf>
    <xf numFmtId="3" fontId="0" fillId="0" borderId="88" xfId="0" applyNumberFormat="1" applyBorder="1" applyAlignment="1" applyProtection="1">
      <alignment/>
      <protection locked="0"/>
    </xf>
    <xf numFmtId="3" fontId="6" fillId="0" borderId="49" xfId="60" applyNumberFormat="1" applyFont="1" applyFill="1" applyBorder="1" applyProtection="1">
      <alignment/>
      <protection locked="0"/>
    </xf>
    <xf numFmtId="3" fontId="0" fillId="0" borderId="83" xfId="0" applyNumberFormat="1" applyBorder="1" applyAlignment="1" applyProtection="1">
      <alignment/>
      <protection locked="0"/>
    </xf>
    <xf numFmtId="206" fontId="0" fillId="0" borderId="107" xfId="0" applyNumberFormat="1" applyBorder="1" applyAlignment="1">
      <alignment/>
    </xf>
    <xf numFmtId="0" fontId="25"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3" fillId="0" borderId="36" xfId="0" applyFont="1" applyFill="1" applyBorder="1" applyAlignment="1" applyProtection="1">
      <alignment horizontal="center" vertical="center" wrapText="1"/>
      <protection/>
    </xf>
    <xf numFmtId="0" fontId="21" fillId="0" borderId="36" xfId="0" applyFont="1" applyFill="1" applyBorder="1" applyAlignment="1" applyProtection="1">
      <alignment horizontal="center" vertical="center" wrapText="1"/>
      <protection/>
    </xf>
    <xf numFmtId="0" fontId="83"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6"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84" fillId="0" borderId="36" xfId="0" applyNumberFormat="1" applyFont="1" applyBorder="1" applyAlignment="1">
      <alignment/>
    </xf>
    <xf numFmtId="0" fontId="19" fillId="0" borderId="134" xfId="64" applyFont="1" applyFill="1" applyBorder="1" applyAlignment="1" applyProtection="1">
      <alignment horizontal="centerContinuous" vertical="center"/>
      <protection/>
    </xf>
    <xf numFmtId="3" fontId="6" fillId="0" borderId="55" xfId="64" applyNumberFormat="1" applyFont="1" applyFill="1" applyBorder="1" applyProtection="1">
      <alignment/>
      <protection locked="0"/>
    </xf>
    <xf numFmtId="3" fontId="6" fillId="0" borderId="135" xfId="64" applyNumberFormat="1" applyFont="1" applyFill="1" applyBorder="1" applyProtection="1">
      <alignment/>
      <protection locked="0"/>
    </xf>
    <xf numFmtId="206" fontId="6" fillId="24" borderId="124" xfId="64" applyNumberFormat="1" applyFont="1" applyFill="1" applyBorder="1">
      <alignment/>
      <protection/>
    </xf>
    <xf numFmtId="0" fontId="19" fillId="0" borderId="136" xfId="64" applyFont="1" applyFill="1" applyBorder="1" applyAlignment="1" applyProtection="1">
      <alignment horizontal="centerContinuous" vertical="center"/>
      <protection/>
    </xf>
    <xf numFmtId="0" fontId="20" fillId="0" borderId="33" xfId="64" applyFont="1" applyFill="1" applyBorder="1" applyAlignment="1" applyProtection="1">
      <alignment horizontal="center"/>
      <protection/>
    </xf>
    <xf numFmtId="3" fontId="6" fillId="0" borderId="38" xfId="64" applyNumberFormat="1" applyFont="1" applyFill="1" applyBorder="1" applyProtection="1">
      <alignment/>
      <protection locked="0"/>
    </xf>
    <xf numFmtId="3" fontId="6" fillId="0" borderId="113" xfId="64" applyNumberFormat="1" applyFont="1" applyFill="1" applyBorder="1" applyProtection="1">
      <alignment/>
      <protection locked="0"/>
    </xf>
    <xf numFmtId="206" fontId="6" fillId="24" borderId="51" xfId="64" applyNumberFormat="1" applyFont="1" applyFill="1" applyBorder="1">
      <alignment/>
      <protection/>
    </xf>
    <xf numFmtId="3" fontId="6" fillId="0" borderId="137" xfId="64" applyNumberFormat="1" applyFont="1" applyFill="1" applyBorder="1" applyProtection="1">
      <alignment/>
      <protection locked="0"/>
    </xf>
    <xf numFmtId="0" fontId="20" fillId="0" borderId="138" xfId="64" applyFont="1" applyFill="1" applyBorder="1" applyAlignment="1" applyProtection="1">
      <alignment horizontal="center"/>
      <protection/>
    </xf>
    <xf numFmtId="206" fontId="6" fillId="24" borderId="127" xfId="64" applyNumberFormat="1" applyFont="1" applyFill="1" applyBorder="1">
      <alignment/>
      <protection/>
    </xf>
    <xf numFmtId="206" fontId="6" fillId="24" borderId="139" xfId="64" applyNumberFormat="1" applyFont="1" applyFill="1" applyBorder="1">
      <alignment/>
      <protection/>
    </xf>
    <xf numFmtId="0" fontId="14" fillId="0" borderId="22" xfId="59" applyFont="1" applyFill="1" applyBorder="1" applyAlignment="1" applyProtection="1">
      <alignment horizontal="center" vertical="center"/>
      <protection/>
    </xf>
    <xf numFmtId="0" fontId="14" fillId="0" borderId="22" xfId="60" applyFont="1" applyFill="1" applyBorder="1" applyAlignment="1" applyProtection="1">
      <alignment horizontal="center" vertical="center"/>
      <protection/>
    </xf>
    <xf numFmtId="0" fontId="20" fillId="0" borderId="85" xfId="59" applyFont="1" applyFill="1" applyBorder="1" applyAlignment="1" applyProtection="1">
      <alignment horizontal="center"/>
      <protection/>
    </xf>
    <xf numFmtId="0" fontId="20" fillId="0" borderId="140" xfId="59" applyFont="1" applyFill="1" applyBorder="1" applyAlignment="1" applyProtection="1">
      <alignment horizontal="center"/>
      <protection/>
    </xf>
    <xf numFmtId="0" fontId="20" fillId="0" borderId="141" xfId="59" applyFont="1" applyFill="1" applyBorder="1" applyAlignment="1" applyProtection="1">
      <alignment horizontal="center"/>
      <protection/>
    </xf>
    <xf numFmtId="0" fontId="20" fillId="0" borderId="85" xfId="60" applyFont="1" applyFill="1" applyBorder="1" applyAlignment="1" applyProtection="1">
      <alignment horizontal="center"/>
      <protection/>
    </xf>
    <xf numFmtId="0" fontId="20" fillId="0" borderId="140" xfId="60" applyFont="1" applyFill="1" applyBorder="1" applyAlignment="1" applyProtection="1">
      <alignment horizontal="center"/>
      <protection/>
    </xf>
    <xf numFmtId="0" fontId="20" fillId="0" borderId="141" xfId="6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57" applyFont="1" applyFill="1" applyAlignment="1" applyProtection="1">
      <alignment vertical="center" wrapText="1"/>
      <protection/>
    </xf>
    <xf numFmtId="0" fontId="19" fillId="0" borderId="142" xfId="0" applyFont="1" applyFill="1" applyBorder="1" applyAlignment="1" applyProtection="1">
      <alignment horizontal="center" vertical="center" wrapText="1"/>
      <protection/>
    </xf>
    <xf numFmtId="0" fontId="19" fillId="0" borderId="142" xfId="0" applyFont="1" applyFill="1" applyBorder="1" applyAlignment="1">
      <alignment horizontal="center" vertical="center" wrapText="1"/>
    </xf>
    <xf numFmtId="49" fontId="17" fillId="22" borderId="64" xfId="57" applyNumberFormat="1" applyFont="1" applyFill="1" applyBorder="1" applyAlignment="1" applyProtection="1">
      <alignment horizontal="left" vertical="center"/>
      <protection locked="0"/>
    </xf>
    <xf numFmtId="49" fontId="17" fillId="22" borderId="36" xfId="57" applyNumberFormat="1" applyFont="1" applyFill="1" applyBorder="1" applyAlignment="1" applyProtection="1">
      <alignment horizontal="left" vertical="center"/>
      <protection locked="0"/>
    </xf>
    <xf numFmtId="49" fontId="17" fillId="22" borderId="52" xfId="55"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6" xfId="55"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6" xfId="0" applyNumberFormat="1" applyFont="1" applyFill="1" applyBorder="1" applyAlignment="1" applyProtection="1">
      <alignment horizontal="left"/>
      <protection locked="0"/>
    </xf>
    <xf numFmtId="0" fontId="6" fillId="0" borderId="108" xfId="64"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1" fillId="0" borderId="36" xfId="0" applyFont="1" applyBorder="1" applyAlignment="1">
      <alignment/>
    </xf>
    <xf numFmtId="0" fontId="116" fillId="0" borderId="36" xfId="0" applyFont="1" applyBorder="1" applyAlignment="1">
      <alignment/>
    </xf>
    <xf numFmtId="0" fontId="23" fillId="0" borderId="50" xfId="0" applyFont="1" applyBorder="1" applyAlignment="1">
      <alignment/>
    </xf>
    <xf numFmtId="0" fontId="14" fillId="0" borderId="98"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23" fillId="0" borderId="146" xfId="0" applyFont="1" applyBorder="1" applyAlignment="1">
      <alignment/>
    </xf>
    <xf numFmtId="0" fontId="6" fillId="0" borderId="57" xfId="0" applyFont="1" applyBorder="1" applyAlignment="1">
      <alignment horizontal="center"/>
    </xf>
    <xf numFmtId="0" fontId="6" fillId="0" borderId="41"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9" fontId="13" fillId="0" borderId="0" xfId="57" applyFont="1" applyFill="1" applyAlignment="1" applyProtection="1">
      <alignment horizontal="left" vertical="center"/>
      <protection/>
    </xf>
    <xf numFmtId="179" fontId="22" fillId="0" borderId="0" xfId="57" applyFont="1" applyAlignment="1" applyProtection="1">
      <alignment vertical="center" wrapText="1"/>
      <protection/>
    </xf>
    <xf numFmtId="0" fontId="13" fillId="0" borderId="0" xfId="56" applyFont="1" applyAlignment="1" applyProtection="1">
      <alignment vertical="center"/>
      <protection/>
    </xf>
    <xf numFmtId="179" fontId="13" fillId="0" borderId="0" xfId="57" applyFont="1" applyAlignment="1" applyProtection="1">
      <alignment vertical="center"/>
      <protection/>
    </xf>
    <xf numFmtId="179" fontId="13" fillId="0" borderId="0" xfId="57" applyFont="1" applyAlignment="1" applyProtection="1">
      <alignment horizontal="right" vertical="center"/>
      <protection/>
    </xf>
    <xf numFmtId="179" fontId="13" fillId="0" borderId="0" xfId="57" applyFont="1" applyFill="1" applyBorder="1" applyAlignment="1" applyProtection="1">
      <alignment horizontal="right" vertical="center"/>
      <protection/>
    </xf>
    <xf numFmtId="179" fontId="80" fillId="0" borderId="0" xfId="57" applyFont="1" applyFill="1" applyAlignment="1" applyProtection="1">
      <alignment horizontal="left" vertical="center"/>
      <protection/>
    </xf>
    <xf numFmtId="179" fontId="80" fillId="0" borderId="0" xfId="57" applyFont="1" applyAlignment="1" applyProtection="1">
      <alignment horizontal="right" vertical="center"/>
      <protection/>
    </xf>
    <xf numFmtId="179" fontId="80" fillId="0" borderId="0" xfId="57" applyFont="1" applyFill="1" applyBorder="1" applyAlignment="1" applyProtection="1">
      <alignment horizontal="right" vertical="center"/>
      <protection/>
    </xf>
    <xf numFmtId="179" fontId="80" fillId="0" borderId="0" xfId="57" applyFont="1" applyFill="1" applyBorder="1" applyAlignment="1" applyProtection="1">
      <alignment vertical="center"/>
      <protection/>
    </xf>
    <xf numFmtId="0" fontId="6" fillId="0" borderId="80" xfId="0" applyFont="1" applyFill="1" applyBorder="1" applyAlignment="1">
      <alignment horizontal="centerContinuous" vertical="center"/>
    </xf>
    <xf numFmtId="0" fontId="6" fillId="0" borderId="87" xfId="0" applyFont="1" applyFill="1" applyBorder="1" applyAlignment="1">
      <alignment horizontal="centerContinuous" vertical="center"/>
    </xf>
    <xf numFmtId="1" fontId="17" fillId="16" borderId="36" xfId="57" applyNumberFormat="1" applyFont="1" applyFill="1" applyBorder="1" applyAlignment="1" applyProtection="1">
      <alignment vertical="center"/>
      <protection/>
    </xf>
    <xf numFmtId="179" fontId="52" fillId="0" borderId="80" xfId="57" applyFont="1" applyBorder="1" applyAlignment="1" applyProtection="1">
      <alignment vertical="center" wrapText="1"/>
      <protection/>
    </xf>
    <xf numFmtId="179" fontId="87" fillId="0" borderId="80" xfId="57"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2" xfId="0" applyFont="1" applyBorder="1" applyAlignment="1">
      <alignment horizontal="center" wrapText="1"/>
    </xf>
    <xf numFmtId="0" fontId="9" fillId="0" borderId="106" xfId="0" applyFont="1" applyBorder="1" applyAlignment="1">
      <alignment horizontal="center" wrapText="1"/>
    </xf>
    <xf numFmtId="0" fontId="9" fillId="0" borderId="147" xfId="0" applyFont="1" applyBorder="1" applyAlignment="1">
      <alignment horizontal="center" wrapText="1"/>
    </xf>
    <xf numFmtId="179" fontId="87" fillId="0" borderId="134" xfId="57" applyFont="1" applyBorder="1" applyAlignment="1" applyProtection="1">
      <alignment vertical="center" wrapText="1"/>
      <protection/>
    </xf>
    <xf numFmtId="3" fontId="7" fillId="24" borderId="83" xfId="0" applyNumberFormat="1" applyFont="1" applyFill="1" applyBorder="1" applyAlignment="1" applyProtection="1">
      <alignment wrapText="1"/>
      <protection locked="0"/>
    </xf>
    <xf numFmtId="3" fontId="6" fillId="0" borderId="88" xfId="60" applyNumberFormat="1" applyFont="1" applyFill="1" applyBorder="1" applyAlignment="1" applyProtection="1">
      <alignment/>
      <protection locked="0"/>
    </xf>
    <xf numFmtId="3" fontId="6" fillId="0" borderId="81" xfId="60" applyNumberFormat="1" applyFont="1" applyFill="1" applyBorder="1" applyAlignment="1" applyProtection="1">
      <alignment/>
      <protection locked="0"/>
    </xf>
    <xf numFmtId="3" fontId="6" fillId="0" borderId="125" xfId="60" applyNumberFormat="1" applyFont="1" applyFill="1" applyBorder="1" applyAlignment="1" applyProtection="1">
      <alignment/>
      <protection locked="0"/>
    </xf>
    <xf numFmtId="3" fontId="6" fillId="0" borderId="101" xfId="60" applyNumberFormat="1" applyFont="1" applyFill="1" applyBorder="1" applyAlignment="1" applyProtection="1">
      <alignment/>
      <protection locked="0"/>
    </xf>
    <xf numFmtId="3" fontId="6" fillId="0" borderId="100" xfId="60" applyNumberFormat="1" applyFont="1" applyFill="1" applyBorder="1" applyAlignment="1" applyProtection="1">
      <alignment/>
      <protection locked="0"/>
    </xf>
    <xf numFmtId="3" fontId="6" fillId="0" borderId="83"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35" xfId="60" applyNumberFormat="1" applyFont="1" applyFill="1" applyBorder="1" applyAlignment="1" applyProtection="1">
      <alignment/>
      <protection locked="0"/>
    </xf>
    <xf numFmtId="3" fontId="6" fillId="0" borderId="60" xfId="60" applyNumberFormat="1" applyFont="1" applyFill="1" applyBorder="1" applyAlignment="1" applyProtection="1">
      <alignment/>
      <protection locked="0"/>
    </xf>
    <xf numFmtId="3" fontId="6" fillId="0" borderId="64" xfId="60" applyNumberFormat="1" applyFont="1" applyFill="1" applyBorder="1" applyAlignment="1" applyProtection="1">
      <alignment/>
      <protection locked="0"/>
    </xf>
    <xf numFmtId="3" fontId="6" fillId="0" borderId="88" xfId="0" applyNumberFormat="1" applyFont="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7" xfId="0" applyNumberFormat="1" applyFont="1" applyBorder="1" applyAlignment="1">
      <alignment horizontal="center"/>
    </xf>
    <xf numFmtId="3" fontId="6" fillId="0" borderId="36" xfId="46" applyNumberFormat="1" applyFont="1" applyBorder="1" applyAlignment="1">
      <alignment/>
    </xf>
    <xf numFmtId="0" fontId="117"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6" xfId="0" applyFont="1" applyFill="1" applyBorder="1" applyAlignment="1" applyProtection="1">
      <alignment horizontal="left"/>
      <protection/>
    </xf>
    <xf numFmtId="179" fontId="44" fillId="24" borderId="0" xfId="57" applyFont="1" applyFill="1" applyAlignment="1" applyProtection="1">
      <alignment vertical="center"/>
      <protection/>
    </xf>
    <xf numFmtId="179" fontId="13" fillId="0" borderId="132" xfId="57" applyFont="1" applyFill="1" applyBorder="1" applyAlignment="1" applyProtection="1">
      <alignment vertical="center" wrapText="1"/>
      <protection/>
    </xf>
    <xf numFmtId="0" fontId="6" fillId="0" borderId="0" xfId="55"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9" xfId="0" applyFont="1" applyFill="1" applyBorder="1" applyAlignment="1">
      <alignment/>
    </xf>
    <xf numFmtId="0" fontId="6" fillId="25" borderId="37" xfId="0" applyFont="1" applyFill="1" applyBorder="1" applyAlignment="1">
      <alignment/>
    </xf>
    <xf numFmtId="0" fontId="9" fillId="25" borderId="148"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2" xfId="0" applyFont="1" applyFill="1" applyBorder="1" applyAlignment="1" applyProtection="1">
      <alignment horizontal="center"/>
      <protection/>
    </xf>
    <xf numFmtId="0" fontId="20" fillId="25" borderId="42" xfId="0" applyFont="1" applyFill="1" applyBorder="1" applyAlignment="1" applyProtection="1">
      <alignment horizontal="center"/>
      <protection/>
    </xf>
    <xf numFmtId="0" fontId="118" fillId="0" borderId="0" xfId="0" applyFont="1" applyAlignment="1">
      <alignment horizontal="center" vertical="center"/>
    </xf>
    <xf numFmtId="206" fontId="6" fillId="25" borderId="119" xfId="0" applyNumberFormat="1" applyFont="1" applyFill="1" applyBorder="1" applyAlignment="1">
      <alignment/>
    </xf>
    <xf numFmtId="206" fontId="6" fillId="25" borderId="123" xfId="0" applyNumberFormat="1" applyFont="1" applyFill="1" applyBorder="1" applyAlignment="1">
      <alignment/>
    </xf>
    <xf numFmtId="206" fontId="6" fillId="25" borderId="50" xfId="0" applyNumberFormat="1" applyFont="1" applyFill="1" applyBorder="1" applyAlignment="1">
      <alignment/>
    </xf>
    <xf numFmtId="206" fontId="6" fillId="25" borderId="72" xfId="0" applyNumberFormat="1" applyFont="1" applyFill="1" applyBorder="1" applyAlignment="1">
      <alignment/>
    </xf>
    <xf numFmtId="206" fontId="6" fillId="25" borderId="146" xfId="0" applyNumberFormat="1" applyFont="1" applyFill="1" applyBorder="1" applyAlignment="1">
      <alignment/>
    </xf>
    <xf numFmtId="206" fontId="6" fillId="25" borderId="106" xfId="0" applyNumberFormat="1" applyFont="1" applyFill="1" applyBorder="1" applyAlignment="1">
      <alignment/>
    </xf>
    <xf numFmtId="206" fontId="6" fillId="25" borderId="74" xfId="0" applyNumberFormat="1" applyFont="1" applyFill="1" applyBorder="1" applyAlignment="1" applyProtection="1">
      <alignment/>
      <protection/>
    </xf>
    <xf numFmtId="206" fontId="6" fillId="25" borderId="76" xfId="0" applyNumberFormat="1" applyFont="1" applyFill="1" applyBorder="1" applyAlignment="1" applyProtection="1">
      <alignment/>
      <protection/>
    </xf>
    <xf numFmtId="179" fontId="8" fillId="0" borderId="0" xfId="57" applyFont="1" applyAlignment="1" applyProtection="1">
      <alignment vertical="center"/>
      <protection/>
    </xf>
    <xf numFmtId="179" fontId="17" fillId="0" borderId="0" xfId="57" applyFont="1" applyAlignment="1" applyProtection="1">
      <alignment vertical="center"/>
      <protection/>
    </xf>
    <xf numFmtId="179" fontId="6" fillId="0" borderId="80" xfId="57" applyFont="1" applyBorder="1" applyAlignment="1" applyProtection="1">
      <alignment vertical="center"/>
      <protection/>
    </xf>
    <xf numFmtId="179" fontId="6" fillId="0" borderId="0" xfId="57" applyFont="1" applyAlignment="1" applyProtection="1">
      <alignment horizontal="left" vertical="center"/>
      <protection/>
    </xf>
    <xf numFmtId="49" fontId="17" fillId="0" borderId="36" xfId="57"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6" xfId="0" applyNumberFormat="1" applyFont="1" applyFill="1" applyBorder="1" applyAlignment="1" applyProtection="1">
      <alignment horizontal="left"/>
      <protection locked="0"/>
    </xf>
    <xf numFmtId="179" fontId="17" fillId="0" borderId="0" xfId="57" applyFont="1" applyAlignment="1" applyProtection="1">
      <alignment horizontal="left" vertical="center"/>
      <protection/>
    </xf>
    <xf numFmtId="179" fontId="17" fillId="0" borderId="0" xfId="57" applyFont="1" applyBorder="1" applyAlignment="1" applyProtection="1">
      <alignment vertical="center"/>
      <protection/>
    </xf>
    <xf numFmtId="0" fontId="22" fillId="0" borderId="0" xfId="0" applyFont="1" applyAlignment="1">
      <alignment wrapText="1"/>
    </xf>
    <xf numFmtId="0" fontId="17" fillId="0" borderId="119" xfId="0" applyFont="1" applyFill="1" applyBorder="1" applyAlignment="1" applyProtection="1">
      <alignment horizontal="left" vertical="center" wrapText="1"/>
      <protection/>
    </xf>
    <xf numFmtId="3" fontId="6" fillId="24" borderId="120"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6" fillId="0" borderId="2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4" xfId="0" applyFont="1" applyFill="1" applyBorder="1" applyAlignment="1" applyProtection="1">
      <alignment horizontal="center" vertical="center"/>
      <protection/>
    </xf>
    <xf numFmtId="0" fontId="9" fillId="26" borderId="75" xfId="0" applyFont="1" applyFill="1" applyBorder="1" applyAlignment="1" applyProtection="1">
      <alignment horizontal="center" vertical="center" wrapText="1"/>
      <protection/>
    </xf>
    <xf numFmtId="0" fontId="9" fillId="26" borderId="76"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6" xfId="0" applyNumberFormat="1" applyFont="1" applyFill="1" applyBorder="1" applyAlignment="1" applyProtection="1">
      <alignment vertical="center"/>
      <protection/>
    </xf>
    <xf numFmtId="4" fontId="6" fillId="0" borderId="50" xfId="0" applyNumberFormat="1" applyFont="1" applyFill="1" applyBorder="1" applyAlignment="1" applyProtection="1">
      <alignment horizontal="justify"/>
      <protection/>
    </xf>
    <xf numFmtId="3" fontId="17"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0" fontId="17" fillId="0" borderId="73" xfId="0" applyNumberFormat="1" applyFont="1" applyFill="1" applyBorder="1" applyAlignment="1" applyProtection="1">
      <alignment/>
      <protection locked="0"/>
    </xf>
    <xf numFmtId="0" fontId="22" fillId="0" borderId="74" xfId="0" applyFont="1" applyFill="1" applyBorder="1" applyAlignment="1" applyProtection="1">
      <alignment horizontal="center" vertical="center" wrapText="1"/>
      <protection/>
    </xf>
    <xf numFmtId="3" fontId="22" fillId="0" borderId="75" xfId="0" applyNumberFormat="1" applyFont="1" applyFill="1" applyBorder="1" applyAlignment="1" applyProtection="1">
      <alignment vertical="center"/>
      <protection/>
    </xf>
    <xf numFmtId="0" fontId="13" fillId="26" borderId="76" xfId="0" applyNumberFormat="1" applyFont="1" applyFill="1" applyBorder="1" applyAlignment="1" applyProtection="1">
      <alignment horizontal="center" vertical="center" wrapText="1"/>
      <protection/>
    </xf>
    <xf numFmtId="0" fontId="0" fillId="0" borderId="120"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6" xfId="0" applyNumberFormat="1" applyFont="1" applyFill="1" applyBorder="1" applyAlignment="1" applyProtection="1">
      <alignment horizontal="center" vertical="center"/>
      <protection/>
    </xf>
    <xf numFmtId="0" fontId="8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9" fillId="0" borderId="0" xfId="0" applyFont="1" applyAlignment="1">
      <alignment/>
    </xf>
    <xf numFmtId="0" fontId="49" fillId="0" borderId="0" xfId="0" applyFont="1" applyAlignment="1">
      <alignment horizontal="center" vertical="center" wrapText="1"/>
    </xf>
    <xf numFmtId="3" fontId="6" fillId="0" borderId="88" xfId="60" applyNumberFormat="1" applyFont="1" applyFill="1" applyBorder="1" applyAlignment="1" applyProtection="1">
      <alignment/>
      <protection locked="0"/>
    </xf>
    <xf numFmtId="3" fontId="6" fillId="0" borderId="81" xfId="60" applyNumberFormat="1" applyFont="1" applyFill="1" applyBorder="1" applyAlignment="1" applyProtection="1">
      <alignment/>
      <protection locked="0"/>
    </xf>
    <xf numFmtId="3" fontId="6" fillId="0" borderId="125" xfId="60" applyNumberFormat="1" applyFont="1" applyFill="1" applyBorder="1" applyAlignment="1" applyProtection="1">
      <alignment/>
      <protection locked="0"/>
    </xf>
    <xf numFmtId="3" fontId="6" fillId="0" borderId="83"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35" xfId="60" applyNumberFormat="1" applyFont="1" applyFill="1" applyBorder="1" applyAlignment="1" applyProtection="1">
      <alignment/>
      <protection locked="0"/>
    </xf>
    <xf numFmtId="206" fontId="6" fillId="24" borderId="114" xfId="60" applyNumberFormat="1" applyFont="1" applyFill="1" applyBorder="1" applyAlignment="1">
      <alignment/>
      <protection/>
    </xf>
    <xf numFmtId="206" fontId="6" fillId="24" borderId="108" xfId="60" applyNumberFormat="1" applyFont="1" applyFill="1" applyBorder="1" applyAlignment="1">
      <alignment/>
      <protection/>
    </xf>
    <xf numFmtId="0" fontId="6" fillId="0" borderId="40"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0" fillId="0" borderId="0" xfId="0" applyFont="1" applyAlignment="1">
      <alignment wrapText="1"/>
    </xf>
    <xf numFmtId="0" fontId="0" fillId="0" borderId="0" xfId="0" applyFont="1" applyAlignment="1" applyProtection="1">
      <alignment horizontal="left"/>
      <protection locked="0"/>
    </xf>
    <xf numFmtId="0" fontId="49" fillId="0" borderId="0" xfId="0" applyFont="1" applyAlignment="1">
      <alignment horizontal="center"/>
    </xf>
    <xf numFmtId="3" fontId="6" fillId="0" borderId="36" xfId="0" applyNumberFormat="1" applyFont="1" applyFill="1" applyBorder="1" applyAlignment="1">
      <alignment horizontal="center"/>
    </xf>
    <xf numFmtId="0" fontId="19" fillId="0" borderId="28" xfId="0" applyFont="1" applyFill="1" applyBorder="1" applyAlignment="1" applyProtection="1">
      <alignment horizontal="center" vertical="center" wrapText="1"/>
      <protection/>
    </xf>
    <xf numFmtId="0" fontId="19" fillId="0" borderId="142" xfId="0" applyNumberFormat="1" applyFont="1" applyFill="1" applyBorder="1" applyAlignment="1" applyProtection="1">
      <alignment horizontal="center" vertical="center" wrapText="1"/>
      <protection/>
    </xf>
    <xf numFmtId="0" fontId="7" fillId="0" borderId="40" xfId="0" applyFont="1" applyFill="1" applyBorder="1" applyAlignment="1" applyProtection="1">
      <alignment horizontal="left"/>
      <protection/>
    </xf>
    <xf numFmtId="40" fontId="6" fillId="24" borderId="120" xfId="46" applyFont="1" applyFill="1" applyBorder="1" applyAlignment="1">
      <alignment horizontal="center"/>
    </xf>
    <xf numFmtId="40" fontId="6" fillId="24" borderId="36" xfId="46" applyFont="1" applyFill="1" applyBorder="1" applyAlignment="1">
      <alignment horizontal="center"/>
    </xf>
    <xf numFmtId="40" fontId="6" fillId="24" borderId="53" xfId="46" applyFont="1" applyFill="1" applyBorder="1" applyAlignment="1">
      <alignment horizontal="center"/>
    </xf>
    <xf numFmtId="0" fontId="6" fillId="0" borderId="22" xfId="0" applyFont="1" applyFill="1" applyBorder="1" applyAlignment="1" applyProtection="1">
      <alignment horizontal="justify"/>
      <protection/>
    </xf>
    <xf numFmtId="0" fontId="22" fillId="0" borderId="119" xfId="0" applyFont="1" applyFill="1" applyBorder="1" applyAlignment="1" applyProtection="1">
      <alignment horizontal="center" vertical="center"/>
      <protection/>
    </xf>
    <xf numFmtId="0" fontId="22" fillId="0" borderId="123"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92" fillId="0" borderId="64" xfId="0" applyFont="1" applyFill="1" applyBorder="1" applyAlignment="1">
      <alignment horizontal="center"/>
    </xf>
    <xf numFmtId="0" fontId="93" fillId="0" borderId="119" xfId="0" applyFont="1" applyFill="1" applyBorder="1" applyAlignment="1" applyProtection="1">
      <alignment horizontal="center"/>
      <protection/>
    </xf>
    <xf numFmtId="0" fontId="93" fillId="0" borderId="120" xfId="0" applyFont="1" applyFill="1" applyBorder="1" applyAlignment="1" applyProtection="1">
      <alignment horizontal="center"/>
      <protection/>
    </xf>
    <xf numFmtId="0" fontId="93" fillId="0" borderId="123" xfId="0" applyFont="1" applyFill="1" applyBorder="1" applyAlignment="1" applyProtection="1">
      <alignment horizontal="center"/>
      <protection/>
    </xf>
    <xf numFmtId="0" fontId="93"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64"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2"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0" fontId="6" fillId="0" borderId="64" xfId="0" applyFont="1" applyFill="1" applyBorder="1" applyAlignment="1" applyProtection="1">
      <alignment horizontal="center"/>
      <protection/>
    </xf>
    <xf numFmtId="4" fontId="17" fillId="24" borderId="50" xfId="0" applyNumberFormat="1" applyFont="1" applyFill="1" applyBorder="1" applyAlignment="1" applyProtection="1">
      <alignment/>
      <protection locked="0"/>
    </xf>
    <xf numFmtId="4" fontId="17" fillId="24" borderId="36" xfId="0" applyNumberFormat="1" applyFont="1" applyFill="1" applyBorder="1" applyAlignment="1" applyProtection="1">
      <alignment/>
      <protection locked="0"/>
    </xf>
    <xf numFmtId="4" fontId="17" fillId="24" borderId="72"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6" xfId="0" applyNumberFormat="1" applyFont="1" applyFill="1" applyBorder="1" applyAlignment="1" applyProtection="1">
      <alignment/>
      <protection locked="0"/>
    </xf>
    <xf numFmtId="3" fontId="17" fillId="24" borderId="72"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72" xfId="0" applyFont="1" applyBorder="1" applyAlignment="1">
      <alignment horizontal="center"/>
    </xf>
    <xf numFmtId="0" fontId="8" fillId="0" borderId="74" xfId="0" applyFont="1" applyFill="1" applyBorder="1" applyAlignment="1" applyProtection="1">
      <alignment horizontal="right" vertical="center"/>
      <protection/>
    </xf>
    <xf numFmtId="0" fontId="17" fillId="0" borderId="149" xfId="0" applyFont="1" applyFill="1" applyBorder="1" applyAlignment="1" applyProtection="1">
      <alignment horizontal="center"/>
      <protection/>
    </xf>
    <xf numFmtId="4" fontId="17" fillId="0" borderId="74" xfId="46" applyNumberFormat="1" applyFont="1" applyFill="1" applyBorder="1" applyAlignment="1">
      <alignment/>
    </xf>
    <xf numFmtId="4" fontId="17" fillId="0" borderId="75" xfId="46" applyNumberFormat="1" applyFont="1" applyFill="1" applyBorder="1" applyAlignment="1">
      <alignment/>
    </xf>
    <xf numFmtId="4" fontId="17" fillId="0" borderId="76" xfId="46" applyNumberFormat="1" applyFont="1" applyFill="1" applyBorder="1" applyAlignment="1">
      <alignment/>
    </xf>
    <xf numFmtId="38" fontId="17" fillId="0" borderId="74" xfId="46" applyNumberFormat="1" applyFont="1" applyFill="1" applyBorder="1" applyAlignment="1">
      <alignment/>
    </xf>
    <xf numFmtId="38" fontId="17" fillId="0" borderId="75" xfId="46" applyNumberFormat="1" applyFont="1" applyFill="1" applyBorder="1" applyAlignment="1">
      <alignment/>
    </xf>
    <xf numFmtId="38" fontId="17" fillId="0" borderId="76" xfId="46" applyNumberFormat="1" applyFont="1" applyFill="1" applyBorder="1" applyAlignment="1">
      <alignment/>
    </xf>
    <xf numFmtId="0" fontId="17" fillId="0" borderId="74" xfId="0" applyFont="1" applyBorder="1" applyAlignment="1">
      <alignment horizontal="center"/>
    </xf>
    <xf numFmtId="0" fontId="17" fillId="0" borderId="76" xfId="0" applyFont="1" applyBorder="1" applyAlignment="1">
      <alignment horizontal="center"/>
    </xf>
    <xf numFmtId="179" fontId="6" fillId="0" borderId="0" xfId="57" applyFont="1" applyAlignment="1" applyProtection="1">
      <alignment vertical="center"/>
      <protection/>
    </xf>
    <xf numFmtId="49" fontId="17" fillId="0" borderId="36" xfId="57" applyNumberFormat="1" applyFont="1" applyBorder="1" applyAlignment="1" applyProtection="1">
      <alignment horizontal="left" vertical="center"/>
      <protection locked="0"/>
    </xf>
    <xf numFmtId="49" fontId="17" fillId="0" borderId="36" xfId="0" applyNumberFormat="1" applyFont="1" applyBorder="1" applyAlignment="1" applyProtection="1">
      <alignment horizontal="left"/>
      <protection locked="0"/>
    </xf>
    <xf numFmtId="0" fontId="14" fillId="0" borderId="150" xfId="0" applyFont="1" applyFill="1" applyBorder="1" applyAlignment="1" applyProtection="1">
      <alignment horizontal="center" vertical="center"/>
      <protection/>
    </xf>
    <xf numFmtId="0" fontId="14" fillId="27" borderId="13" xfId="0" applyFont="1" applyFill="1" applyBorder="1" applyAlignment="1" applyProtection="1">
      <alignment horizontal="center" vertical="center"/>
      <protection/>
    </xf>
    <xf numFmtId="0" fontId="14" fillId="27" borderId="151" xfId="0" applyFont="1" applyFill="1" applyBorder="1" applyAlignment="1" applyProtection="1">
      <alignment horizontal="center" vertical="center"/>
      <protection/>
    </xf>
    <xf numFmtId="0" fontId="6" fillId="0" borderId="48" xfId="59" applyFont="1" applyFill="1" applyBorder="1" applyAlignment="1">
      <alignment horizontal="center"/>
      <protection/>
    </xf>
    <xf numFmtId="206" fontId="6" fillId="0" borderId="0" xfId="0" applyNumberFormat="1" applyFont="1" applyAlignment="1">
      <alignment/>
    </xf>
    <xf numFmtId="0" fontId="14" fillId="27" borderId="48" xfId="59" applyFont="1" applyFill="1" applyBorder="1" applyAlignment="1">
      <alignment horizontal="centerContinuous"/>
      <protection/>
    </xf>
    <xf numFmtId="0" fontId="14" fillId="27" borderId="48" xfId="60" applyFont="1" applyFill="1" applyBorder="1" applyAlignment="1">
      <alignment horizontal="center"/>
      <protection/>
    </xf>
    <xf numFmtId="0" fontId="14" fillId="27" borderId="48" xfId="61" applyFont="1" applyFill="1" applyBorder="1" applyAlignment="1">
      <alignment horizontal="center"/>
      <protection/>
    </xf>
    <xf numFmtId="0" fontId="14" fillId="27" borderId="48" xfId="62" applyFont="1" applyFill="1" applyBorder="1" applyAlignment="1">
      <alignment horizontal="center"/>
      <protection/>
    </xf>
    <xf numFmtId="0" fontId="14" fillId="27" borderId="48" xfId="63" applyFont="1" applyFill="1" applyBorder="1" applyAlignment="1" applyProtection="1">
      <alignment horizontal="center" vertical="center"/>
      <protection/>
    </xf>
    <xf numFmtId="0" fontId="9" fillId="0" borderId="11" xfId="0" applyFont="1" applyFill="1" applyBorder="1" applyAlignment="1" applyProtection="1">
      <alignment horizontal="centerContinuous" vertical="center"/>
      <protection/>
    </xf>
    <xf numFmtId="0" fontId="9" fillId="0" borderId="95" xfId="0" applyFont="1" applyFill="1" applyBorder="1" applyAlignment="1" applyProtection="1">
      <alignment horizontal="centerContinuous" vertical="center" wrapText="1"/>
      <protection/>
    </xf>
    <xf numFmtId="0" fontId="20" fillId="0" borderId="27" xfId="0" applyFont="1" applyFill="1" applyBorder="1" applyAlignment="1" applyProtection="1">
      <alignment/>
      <protection/>
    </xf>
    <xf numFmtId="0" fontId="14" fillId="27" borderId="48" xfId="64" applyFont="1" applyFill="1" applyBorder="1" applyAlignment="1">
      <alignment horizontal="center"/>
      <protection/>
    </xf>
    <xf numFmtId="0" fontId="14" fillId="27" borderId="48" xfId="0" applyFont="1" applyFill="1" applyBorder="1" applyAlignment="1" applyProtection="1">
      <alignment horizontal="center"/>
      <protection/>
    </xf>
    <xf numFmtId="0" fontId="14" fillId="27" borderId="13" xfId="0" applyFont="1" applyFill="1" applyBorder="1" applyAlignment="1">
      <alignment horizontal="center"/>
    </xf>
    <xf numFmtId="3" fontId="17" fillId="0" borderId="52" xfId="0" applyNumberFormat="1" applyFont="1" applyFill="1" applyBorder="1" applyAlignment="1" applyProtection="1">
      <alignment/>
      <protection locked="0"/>
    </xf>
    <xf numFmtId="3" fontId="17" fillId="0" borderId="36" xfId="0" applyNumberFormat="1" applyFont="1" applyFill="1" applyBorder="1" applyAlignment="1" applyProtection="1">
      <alignment/>
      <protection locked="0"/>
    </xf>
    <xf numFmtId="3" fontId="17" fillId="0" borderId="53" xfId="0" applyNumberFormat="1" applyFont="1" applyFill="1" applyBorder="1" applyAlignment="1" applyProtection="1">
      <alignment/>
      <protection locked="0"/>
    </xf>
    <xf numFmtId="0" fontId="17" fillId="0" borderId="70" xfId="0" applyNumberFormat="1" applyFont="1" applyFill="1" applyBorder="1" applyAlignment="1" applyProtection="1">
      <alignment wrapText="1"/>
      <protection locked="0"/>
    </xf>
    <xf numFmtId="0" fontId="17" fillId="0" borderId="71" xfId="0" applyNumberFormat="1" applyFont="1" applyFill="1" applyBorder="1" applyAlignment="1" applyProtection="1">
      <alignment wrapText="1"/>
      <protection locked="0"/>
    </xf>
    <xf numFmtId="206" fontId="6" fillId="24" borderId="66" xfId="0" applyNumberFormat="1" applyFont="1" applyFill="1" applyBorder="1" applyAlignment="1" applyProtection="1">
      <alignment/>
      <protection locked="0"/>
    </xf>
    <xf numFmtId="206" fontId="6" fillId="24" borderId="49"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49" xfId="0" applyNumberFormat="1" applyFont="1" applyFill="1" applyBorder="1" applyAlignment="1" applyProtection="1">
      <alignment/>
      <protection locked="0"/>
    </xf>
    <xf numFmtId="206" fontId="6" fillId="0" borderId="88" xfId="64" applyNumberFormat="1" applyFont="1" applyFill="1" applyBorder="1" applyProtection="1">
      <alignment/>
      <protection locked="0"/>
    </xf>
    <xf numFmtId="206" fontId="6" fillId="0" borderId="81" xfId="64" applyNumberFormat="1" applyFont="1" applyFill="1" applyBorder="1" applyProtection="1">
      <alignment/>
      <protection locked="0"/>
    </xf>
    <xf numFmtId="206" fontId="6" fillId="0" borderId="137" xfId="64" applyNumberFormat="1" applyFont="1" applyFill="1" applyBorder="1" applyProtection="1">
      <alignment/>
      <protection locked="0"/>
    </xf>
    <xf numFmtId="206" fontId="6" fillId="0" borderId="38" xfId="64" applyNumberFormat="1" applyFont="1" applyFill="1" applyBorder="1" applyProtection="1">
      <alignment/>
      <protection locked="0"/>
    </xf>
    <xf numFmtId="206" fontId="6" fillId="0" borderId="55" xfId="64" applyNumberFormat="1" applyFont="1" applyFill="1" applyBorder="1" applyProtection="1">
      <alignment/>
      <protection locked="0"/>
    </xf>
    <xf numFmtId="206" fontId="6" fillId="0" borderId="83" xfId="64" applyNumberFormat="1" applyFont="1" applyFill="1" applyBorder="1" applyProtection="1">
      <alignment/>
      <protection locked="0"/>
    </xf>
    <xf numFmtId="206" fontId="6" fillId="0" borderId="79" xfId="64" applyNumberFormat="1" applyFont="1" applyFill="1" applyBorder="1" applyProtection="1">
      <alignment/>
      <protection locked="0"/>
    </xf>
    <xf numFmtId="206" fontId="6" fillId="0" borderId="113" xfId="64" applyNumberFormat="1" applyFont="1" applyFill="1" applyBorder="1" applyProtection="1">
      <alignment/>
      <protection locked="0"/>
    </xf>
    <xf numFmtId="206" fontId="6" fillId="0" borderId="135" xfId="64" applyNumberFormat="1" applyFont="1" applyFill="1" applyBorder="1" applyProtection="1">
      <alignment/>
      <protection locked="0"/>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206" fontId="6" fillId="0" borderId="68" xfId="0" applyNumberFormat="1" applyFont="1" applyFill="1" applyBorder="1" applyAlignment="1" applyProtection="1">
      <alignment/>
      <protection locked="0"/>
    </xf>
    <xf numFmtId="206" fontId="6" fillId="0" borderId="69"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206" fontId="17" fillId="0" borderId="80" xfId="0" applyNumberFormat="1" applyFont="1" applyFill="1" applyBorder="1" applyAlignment="1" applyProtection="1">
      <alignment horizontal="center"/>
      <protection/>
    </xf>
    <xf numFmtId="206" fontId="17" fillId="0" borderId="0" xfId="0" applyNumberFormat="1" applyFont="1" applyFill="1" applyBorder="1" applyAlignment="1" applyProtection="1">
      <alignment horizontal="center"/>
      <protection/>
    </xf>
    <xf numFmtId="206" fontId="17" fillId="0" borderId="134" xfId="0" applyNumberFormat="1" applyFont="1" applyFill="1" applyBorder="1" applyAlignment="1" applyProtection="1">
      <alignment horizontal="center"/>
      <protection/>
    </xf>
    <xf numFmtId="206" fontId="17" fillId="0" borderId="80" xfId="0" applyNumberFormat="1" applyFont="1" applyFill="1" applyBorder="1" applyAlignment="1" applyProtection="1">
      <alignment horizontal="center"/>
      <protection/>
    </xf>
    <xf numFmtId="206" fontId="17" fillId="0" borderId="64" xfId="0" applyNumberFormat="1" applyFont="1" applyFill="1" applyBorder="1" applyAlignment="1" applyProtection="1">
      <alignment horizontal="center"/>
      <protection/>
    </xf>
    <xf numFmtId="206" fontId="17" fillId="0" borderId="59" xfId="0" applyNumberFormat="1" applyFont="1" applyFill="1" applyBorder="1" applyAlignment="1" applyProtection="1">
      <alignment horizontal="center"/>
      <protection/>
    </xf>
    <xf numFmtId="206" fontId="17" fillId="0" borderId="135" xfId="0" applyNumberFormat="1" applyFont="1" applyFill="1" applyBorder="1" applyAlignment="1" applyProtection="1">
      <alignment horizontal="center"/>
      <protection/>
    </xf>
    <xf numFmtId="206" fontId="17" fillId="0" borderId="152" xfId="0" applyNumberFormat="1" applyFont="1" applyFill="1" applyBorder="1" applyAlignment="1" applyProtection="1">
      <alignment horizontal="center"/>
      <protection/>
    </xf>
    <xf numFmtId="4" fontId="6" fillId="0" borderId="66" xfId="0" applyNumberFormat="1" applyFont="1" applyFill="1" applyBorder="1" applyAlignment="1" applyProtection="1">
      <alignment/>
      <protection locked="0"/>
    </xf>
    <xf numFmtId="206" fontId="6" fillId="0" borderId="104" xfId="46" applyNumberFormat="1" applyFont="1" applyFill="1" applyBorder="1" applyAlignment="1" applyProtection="1">
      <alignment/>
      <protection locked="0"/>
    </xf>
    <xf numFmtId="206" fontId="6" fillId="0" borderId="72" xfId="46" applyNumberFormat="1" applyFont="1" applyFill="1" applyBorder="1" applyAlignment="1" applyProtection="1">
      <alignment/>
      <protection locked="0"/>
    </xf>
    <xf numFmtId="206" fontId="6" fillId="0" borderId="28" xfId="46" applyNumberFormat="1" applyFont="1" applyFill="1" applyBorder="1" applyAlignment="1" applyProtection="1">
      <alignment/>
      <protection locked="0"/>
    </xf>
    <xf numFmtId="206" fontId="6" fillId="0" borderId="92" xfId="46" applyNumberFormat="1" applyFont="1" applyFill="1" applyBorder="1" applyAlignment="1" applyProtection="1">
      <alignment/>
      <protection locked="0"/>
    </xf>
    <xf numFmtId="0" fontId="10" fillId="0" borderId="0" xfId="0" applyFont="1" applyBorder="1" applyAlignment="1" applyProtection="1">
      <alignment vertical="top"/>
      <protection/>
    </xf>
    <xf numFmtId="2" fontId="6" fillId="0" borderId="66" xfId="0" applyNumberFormat="1" applyFont="1" applyFill="1" applyBorder="1" applyAlignment="1" applyProtection="1">
      <alignment/>
      <protection locked="0"/>
    </xf>
    <xf numFmtId="0" fontId="5" fillId="0" borderId="0" xfId="0" applyFont="1" applyAlignment="1">
      <alignment wrapText="1"/>
    </xf>
    <xf numFmtId="0" fontId="5" fillId="0" borderId="0" xfId="0" applyFont="1" applyAlignment="1">
      <alignment/>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42" xfId="0" applyFont="1" applyBorder="1" applyAlignment="1">
      <alignment horizontal="left"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123" xfId="0" applyFont="1" applyFill="1" applyBorder="1" applyAlignment="1" applyProtection="1">
      <alignment horizontal="center" vertical="center" wrapText="1"/>
      <protection/>
    </xf>
    <xf numFmtId="0" fontId="9" fillId="0" borderId="72" xfId="0" applyFont="1" applyFill="1" applyBorder="1" applyAlignment="1" applyProtection="1">
      <alignment horizontal="center" vertical="center" wrapText="1"/>
      <protection/>
    </xf>
    <xf numFmtId="0" fontId="9" fillId="0" borderId="147" xfId="0" applyFont="1" applyFill="1" applyBorder="1" applyAlignment="1" applyProtection="1">
      <alignment horizontal="center" vertical="center" wrapText="1"/>
      <protection/>
    </xf>
    <xf numFmtId="0" fontId="9" fillId="0" borderId="92" xfId="0" applyFont="1" applyBorder="1" applyAlignment="1">
      <alignment horizontal="center" vertical="center" wrapText="1"/>
    </xf>
    <xf numFmtId="0" fontId="9" fillId="0" borderId="147" xfId="0" applyFont="1" applyBorder="1" applyAlignment="1">
      <alignment horizontal="center" vertical="center" wrapText="1"/>
    </xf>
    <xf numFmtId="38" fontId="6" fillId="0" borderId="36" xfId="46" applyNumberFormat="1" applyFont="1" applyBorder="1" applyAlignment="1">
      <alignment/>
    </xf>
    <xf numFmtId="179" fontId="120" fillId="28" borderId="0" xfId="57" applyFont="1" applyFill="1" applyAlignment="1" applyProtection="1">
      <alignment vertical="center"/>
      <protection/>
    </xf>
    <xf numFmtId="0" fontId="121" fillId="28" borderId="0" xfId="0" applyFont="1" applyFill="1" applyAlignment="1">
      <alignment/>
    </xf>
    <xf numFmtId="179" fontId="122" fillId="28" borderId="0" xfId="57" applyFont="1" applyFill="1" applyAlignment="1" applyProtection="1">
      <alignment vertical="center"/>
      <protection/>
    </xf>
    <xf numFmtId="179" fontId="120" fillId="28" borderId="0" xfId="57" applyFont="1" applyFill="1" applyAlignment="1">
      <alignment vertical="center"/>
      <protection/>
    </xf>
    <xf numFmtId="179" fontId="120" fillId="28" borderId="0" xfId="57" applyFont="1" applyFill="1" applyAlignment="1">
      <alignment horizontal="center" vertical="center"/>
      <protection/>
    </xf>
    <xf numFmtId="2" fontId="6" fillId="0" borderId="36" xfId="46" applyNumberFormat="1" applyFont="1" applyBorder="1" applyAlignment="1">
      <alignment/>
    </xf>
    <xf numFmtId="3" fontId="17" fillId="0" borderId="58" xfId="0" applyNumberFormat="1" applyFont="1" applyFill="1" applyBorder="1" applyAlignment="1" applyProtection="1">
      <alignment/>
      <protection locked="0"/>
    </xf>
    <xf numFmtId="3" fontId="17" fillId="0" borderId="57" xfId="0" applyNumberFormat="1" applyFont="1" applyFill="1" applyBorder="1" applyAlignment="1" applyProtection="1">
      <alignment/>
      <protection locked="0"/>
    </xf>
    <xf numFmtId="0" fontId="17" fillId="0" borderId="153" xfId="0" applyNumberFormat="1" applyFont="1" applyFill="1" applyBorder="1" applyAlignment="1" applyProtection="1">
      <alignment wrapText="1"/>
      <protection locked="0"/>
    </xf>
    <xf numFmtId="0" fontId="17" fillId="0" borderId="42" xfId="0" applyNumberFormat="1" applyFont="1" applyFill="1" applyBorder="1" applyAlignment="1" applyProtection="1">
      <alignment wrapText="1"/>
      <protection locked="0"/>
    </xf>
    <xf numFmtId="3" fontId="17" fillId="0" borderId="154" xfId="0" applyNumberFormat="1" applyFont="1" applyFill="1" applyBorder="1" applyAlignment="1" applyProtection="1">
      <alignment/>
      <protection locked="0"/>
    </xf>
    <xf numFmtId="0" fontId="17" fillId="0" borderId="155" xfId="0" applyNumberFormat="1" applyFont="1" applyFill="1" applyBorder="1" applyAlignment="1" applyProtection="1">
      <alignment wrapText="1"/>
      <protection locked="0"/>
    </xf>
    <xf numFmtId="0" fontId="9" fillId="26" borderId="156" xfId="0" applyFont="1" applyFill="1" applyBorder="1" applyAlignment="1" applyProtection="1">
      <alignment horizontal="center" vertical="center" wrapText="1"/>
      <protection/>
    </xf>
    <xf numFmtId="0" fontId="9" fillId="26" borderId="153" xfId="0" applyFont="1" applyFill="1" applyBorder="1" applyAlignment="1" applyProtection="1">
      <alignment horizontal="center" vertical="center" wrapText="1"/>
      <protection/>
    </xf>
    <xf numFmtId="0" fontId="9" fillId="26" borderId="23" xfId="0" applyFont="1" applyFill="1" applyBorder="1" applyAlignment="1" applyProtection="1">
      <alignment horizontal="center" vertical="center" wrapText="1"/>
      <protection/>
    </xf>
    <xf numFmtId="0" fontId="9" fillId="26" borderId="42"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0" xfId="0" applyFont="1" applyFill="1" applyBorder="1" applyAlignment="1" applyProtection="1">
      <alignment horizontal="center" vertical="center" wrapText="1"/>
      <protection/>
    </xf>
    <xf numFmtId="0" fontId="9" fillId="26" borderId="64"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Continuous" vertical="center" wrapText="1"/>
      <protection/>
    </xf>
    <xf numFmtId="0" fontId="6" fillId="0" borderId="38" xfId="0" applyFont="1" applyFill="1" applyBorder="1" applyAlignment="1" applyProtection="1">
      <alignment horizontal="center" vertical="center" wrapText="1"/>
      <protection/>
    </xf>
    <xf numFmtId="206" fontId="6" fillId="24" borderId="124" xfId="0" applyNumberFormat="1" applyFont="1" applyFill="1" applyBorder="1" applyAlignment="1">
      <alignment/>
    </xf>
    <xf numFmtId="0" fontId="9" fillId="0" borderId="66" xfId="0" applyFont="1" applyFill="1" applyBorder="1" applyAlignment="1" applyProtection="1">
      <alignment horizontal="centerContinuous" vertical="center" wrapText="1"/>
      <protection/>
    </xf>
    <xf numFmtId="0" fontId="9" fillId="0" borderId="84"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179" fontId="17" fillId="0" borderId="0" xfId="57" applyFont="1" applyFill="1" applyBorder="1" applyAlignment="1" applyProtection="1">
      <alignment vertical="center"/>
      <protection/>
    </xf>
    <xf numFmtId="179" fontId="8" fillId="0" borderId="36" xfId="57" applyFont="1" applyFill="1" applyBorder="1" applyAlignment="1" applyProtection="1">
      <alignment horizontal="center" vertical="center"/>
      <protection/>
    </xf>
    <xf numFmtId="0" fontId="51" fillId="0" borderId="0" xfId="57" applyNumberFormat="1" applyFont="1" applyAlignment="1" applyProtection="1">
      <alignment horizontal="center" vertical="center" wrapText="1"/>
      <protection/>
    </xf>
    <xf numFmtId="0" fontId="6" fillId="29" borderId="145" xfId="0" applyFont="1" applyFill="1" applyBorder="1" applyAlignment="1">
      <alignment/>
    </xf>
    <xf numFmtId="0" fontId="118" fillId="28" borderId="0" xfId="0" applyFont="1" applyFill="1" applyBorder="1" applyAlignment="1">
      <alignment horizontal="center" wrapText="1"/>
    </xf>
    <xf numFmtId="0" fontId="123" fillId="0" borderId="80" xfId="0" applyFont="1" applyBorder="1" applyAlignment="1">
      <alignment horizontal="center"/>
    </xf>
    <xf numFmtId="0" fontId="123" fillId="0" borderId="0" xfId="0" applyFont="1" applyBorder="1" applyAlignment="1">
      <alignment horizontal="center"/>
    </xf>
    <xf numFmtId="0" fontId="20" fillId="0" borderId="0" xfId="0" applyFont="1" applyAlignment="1">
      <alignment/>
    </xf>
    <xf numFmtId="0" fontId="6" fillId="0" borderId="119" xfId="0" applyFont="1" applyBorder="1" applyAlignment="1">
      <alignment/>
    </xf>
    <xf numFmtId="0" fontId="6" fillId="0" borderId="121" xfId="0" applyFont="1" applyBorder="1" applyAlignment="1">
      <alignment/>
    </xf>
    <xf numFmtId="0" fontId="6" fillId="0" borderId="52" xfId="0" applyFont="1" applyBorder="1" applyAlignment="1">
      <alignment/>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0" fontId="85" fillId="16" borderId="64" xfId="0" applyFont="1" applyFill="1" applyBorder="1" applyAlignment="1">
      <alignment horizontal="center" vertical="center" readingOrder="1"/>
    </xf>
    <xf numFmtId="0" fontId="85" fillId="16" borderId="135" xfId="0" applyFont="1" applyFill="1" applyBorder="1" applyAlignment="1">
      <alignment horizontal="center" vertical="center" readingOrder="1"/>
    </xf>
    <xf numFmtId="0" fontId="85" fillId="16" borderId="60" xfId="0" applyFont="1" applyFill="1" applyBorder="1" applyAlignment="1">
      <alignment horizontal="center" vertical="center" readingOrder="1"/>
    </xf>
    <xf numFmtId="49" fontId="17" fillId="0" borderId="64" xfId="57" applyNumberFormat="1" applyFont="1" applyFill="1" applyBorder="1" applyAlignment="1" applyProtection="1">
      <alignment horizontal="left" vertical="center"/>
      <protection locked="0"/>
    </xf>
    <xf numFmtId="49" fontId="17" fillId="0" borderId="60" xfId="57" applyNumberFormat="1" applyFont="1" applyFill="1" applyBorder="1" applyAlignment="1" applyProtection="1">
      <alignment horizontal="left" vertical="center"/>
      <protection locked="0"/>
    </xf>
    <xf numFmtId="49" fontId="17" fillId="22" borderId="64" xfId="57" applyNumberFormat="1" applyFont="1" applyFill="1" applyBorder="1" applyAlignment="1" applyProtection="1">
      <alignment horizontal="left" vertical="center"/>
      <protection locked="0"/>
    </xf>
    <xf numFmtId="49" fontId="17" fillId="22" borderId="60" xfId="57" applyNumberFormat="1" applyFont="1" applyFill="1" applyBorder="1" applyAlignment="1" applyProtection="1">
      <alignment horizontal="left" vertical="center"/>
      <protection locked="0"/>
    </xf>
    <xf numFmtId="49" fontId="17" fillId="0" borderId="64" xfId="57" applyNumberFormat="1" applyFont="1" applyBorder="1" applyAlignment="1" applyProtection="1">
      <alignment horizontal="left" vertical="center"/>
      <protection locked="0"/>
    </xf>
    <xf numFmtId="49" fontId="17" fillId="0" borderId="60" xfId="57" applyNumberFormat="1" applyFont="1" applyBorder="1" applyAlignment="1" applyProtection="1">
      <alignment horizontal="left" vertical="center"/>
      <protection locked="0"/>
    </xf>
    <xf numFmtId="49" fontId="11" fillId="0" borderId="64" xfId="36" applyNumberFormat="1" applyFill="1" applyBorder="1" applyAlignment="1" applyProtection="1">
      <alignment horizontal="left" vertical="center"/>
      <protection locked="0"/>
    </xf>
    <xf numFmtId="49" fontId="17" fillId="0" borderId="60" xfId="55" applyNumberFormat="1" applyFont="1" applyFill="1" applyBorder="1" applyAlignment="1" applyProtection="1">
      <alignment horizontal="left" vertical="center"/>
      <protection locked="0"/>
    </xf>
    <xf numFmtId="49" fontId="17" fillId="0" borderId="64" xfId="55" applyNumberFormat="1" applyFont="1" applyFill="1" applyBorder="1" applyAlignment="1" applyProtection="1">
      <alignment horizontal="left" vertical="center"/>
      <protection locked="0"/>
    </xf>
    <xf numFmtId="49" fontId="17" fillId="0" borderId="135" xfId="55" applyNumberFormat="1" applyFont="1" applyFill="1" applyBorder="1" applyAlignment="1" applyProtection="1">
      <alignment horizontal="left" vertical="center"/>
      <protection locked="0"/>
    </xf>
    <xf numFmtId="179" fontId="22" fillId="0" borderId="0" xfId="57" applyFont="1" applyAlignment="1" applyProtection="1">
      <alignment horizontal="left" vertical="center" wrapText="1"/>
      <protection/>
    </xf>
    <xf numFmtId="179" fontId="13" fillId="24" borderId="0" xfId="57" applyFont="1" applyFill="1" applyBorder="1" applyAlignment="1" applyProtection="1">
      <alignment horizontal="left" vertical="center" wrapText="1"/>
      <protection/>
    </xf>
    <xf numFmtId="179" fontId="8" fillId="0" borderId="0" xfId="57" applyFont="1" applyBorder="1" applyAlignment="1" applyProtection="1">
      <alignment horizontal="left" wrapText="1"/>
      <protection/>
    </xf>
    <xf numFmtId="179" fontId="8" fillId="0" borderId="0" xfId="57" applyFont="1" applyBorder="1" applyAlignment="1" applyProtection="1">
      <alignment horizontal="left" wrapText="1"/>
      <protection/>
    </xf>
    <xf numFmtId="179" fontId="8" fillId="0" borderId="134" xfId="57" applyFont="1" applyBorder="1" applyAlignment="1" applyProtection="1">
      <alignment horizontal="left" wrapText="1"/>
      <protection/>
    </xf>
    <xf numFmtId="0" fontId="81" fillId="16" borderId="64" xfId="0" applyFont="1" applyFill="1" applyBorder="1" applyAlignment="1">
      <alignment horizontal="center" vertical="center" wrapText="1" readingOrder="1"/>
    </xf>
    <xf numFmtId="0" fontId="81" fillId="16" borderId="135" xfId="0" applyFont="1" applyFill="1" applyBorder="1" applyAlignment="1">
      <alignment horizontal="center" vertical="center" wrapText="1" readingOrder="1"/>
    </xf>
    <xf numFmtId="0" fontId="81" fillId="16" borderId="60" xfId="0" applyFont="1" applyFill="1" applyBorder="1" applyAlignment="1">
      <alignment horizontal="center" vertical="center" wrapText="1" readingOrder="1"/>
    </xf>
    <xf numFmtId="49" fontId="17" fillId="0" borderId="156" xfId="55" applyNumberFormat="1" applyFont="1" applyFill="1" applyBorder="1" applyAlignment="1" applyProtection="1">
      <alignment horizontal="left" vertical="center" wrapText="1"/>
      <protection locked="0"/>
    </xf>
    <xf numFmtId="49" fontId="17" fillId="0" borderId="134" xfId="55" applyNumberFormat="1" applyFont="1" applyFill="1" applyBorder="1" applyAlignment="1" applyProtection="1">
      <alignment horizontal="left" vertical="center" wrapText="1"/>
      <protection locked="0"/>
    </xf>
    <xf numFmtId="49" fontId="17" fillId="0" borderId="157" xfId="55" applyNumberFormat="1" applyFont="1" applyFill="1" applyBorder="1" applyAlignment="1" applyProtection="1">
      <alignment horizontal="left" vertical="center" wrapText="1"/>
      <protection locked="0"/>
    </xf>
    <xf numFmtId="49" fontId="17" fillId="0" borderId="23" xfId="55" applyNumberFormat="1" applyFont="1" applyFill="1" applyBorder="1" applyAlignment="1" applyProtection="1">
      <alignment horizontal="left" vertical="center" wrapText="1"/>
      <protection locked="0"/>
    </xf>
    <xf numFmtId="49" fontId="17" fillId="0" borderId="0" xfId="55" applyNumberFormat="1" applyFont="1" applyFill="1" applyBorder="1" applyAlignment="1" applyProtection="1">
      <alignment horizontal="left" vertical="center" wrapText="1"/>
      <protection locked="0"/>
    </xf>
    <xf numFmtId="49" fontId="17" fillId="0" borderId="132" xfId="55" applyNumberFormat="1" applyFont="1" applyFill="1" applyBorder="1" applyAlignment="1" applyProtection="1">
      <alignment horizontal="left" vertical="center" wrapText="1"/>
      <protection locked="0"/>
    </xf>
    <xf numFmtId="49" fontId="17" fillId="0" borderId="59" xfId="55" applyNumberFormat="1" applyFont="1" applyFill="1" applyBorder="1" applyAlignment="1" applyProtection="1">
      <alignment horizontal="left" vertical="center" wrapText="1"/>
      <protection locked="0"/>
    </xf>
    <xf numFmtId="49" fontId="17" fillId="0" borderId="80" xfId="55" applyNumberFormat="1" applyFont="1" applyFill="1" applyBorder="1" applyAlignment="1" applyProtection="1">
      <alignment horizontal="left" vertical="center" wrapText="1"/>
      <protection locked="0"/>
    </xf>
    <xf numFmtId="49" fontId="17" fillId="0" borderId="82" xfId="55" applyNumberFormat="1" applyFont="1" applyFill="1" applyBorder="1" applyAlignment="1" applyProtection="1">
      <alignment horizontal="left" vertical="center" wrapText="1"/>
      <protection locked="0"/>
    </xf>
    <xf numFmtId="179" fontId="13" fillId="0" borderId="0" xfId="57" applyFont="1" applyFill="1" applyAlignment="1" applyProtection="1">
      <alignment horizontal="left" vertical="center" wrapText="1"/>
      <protection/>
    </xf>
    <xf numFmtId="179" fontId="13" fillId="0" borderId="132" xfId="57" applyFont="1" applyFill="1" applyBorder="1" applyAlignment="1" applyProtection="1">
      <alignment horizontal="left" vertical="center" wrapText="1"/>
      <protection/>
    </xf>
    <xf numFmtId="179" fontId="37" fillId="0" borderId="0" xfId="57" applyFont="1" applyFill="1" applyBorder="1" applyAlignment="1" applyProtection="1">
      <alignment horizontal="left" vertical="center"/>
      <protection/>
    </xf>
    <xf numFmtId="49" fontId="17" fillId="22" borderId="64" xfId="55" applyNumberFormat="1" applyFont="1" applyFill="1" applyBorder="1" applyAlignment="1" applyProtection="1">
      <alignment horizontal="left" vertical="center"/>
      <protection locked="0"/>
    </xf>
    <xf numFmtId="49" fontId="17" fillId="22" borderId="135" xfId="55" applyNumberFormat="1" applyFont="1" applyFill="1" applyBorder="1" applyAlignment="1" applyProtection="1">
      <alignment horizontal="left" vertical="center"/>
      <protection locked="0"/>
    </xf>
    <xf numFmtId="49" fontId="17" fillId="22" borderId="60" xfId="55" applyNumberFormat="1" applyFont="1" applyFill="1" applyBorder="1" applyAlignment="1" applyProtection="1">
      <alignment horizontal="left" vertical="center"/>
      <protection locked="0"/>
    </xf>
    <xf numFmtId="179" fontId="37" fillId="0" borderId="0" xfId="57" applyFont="1" applyFill="1" applyBorder="1" applyAlignment="1" applyProtection="1">
      <alignment horizontal="center" vertical="center"/>
      <protection/>
    </xf>
    <xf numFmtId="49" fontId="89" fillId="24" borderId="64" xfId="36" applyNumberFormat="1" applyFont="1" applyFill="1" applyBorder="1" applyAlignment="1" applyProtection="1">
      <alignment vertical="center"/>
      <protection locked="0"/>
    </xf>
    <xf numFmtId="49" fontId="17" fillId="24" borderId="135"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179" fontId="57" fillId="24" borderId="0" xfId="57" applyFont="1" applyFill="1" applyAlignment="1" applyProtection="1">
      <alignment horizontal="center" vertical="center" wrapText="1"/>
      <protection/>
    </xf>
    <xf numFmtId="179" fontId="58" fillId="24" borderId="58" xfId="57" applyFont="1" applyFill="1" applyBorder="1" applyAlignment="1" applyProtection="1">
      <alignment horizontal="center" vertical="center" wrapText="1"/>
      <protection/>
    </xf>
    <xf numFmtId="179" fontId="30" fillId="24" borderId="58" xfId="57" applyFont="1" applyFill="1" applyBorder="1" applyAlignment="1" applyProtection="1">
      <alignment horizontal="center" vertical="center" wrapText="1"/>
      <protection/>
    </xf>
    <xf numFmtId="179" fontId="58" fillId="24" borderId="132" xfId="57" applyFont="1" applyFill="1" applyBorder="1" applyAlignment="1" applyProtection="1">
      <alignment horizontal="center" vertical="top" wrapText="1"/>
      <protection/>
    </xf>
    <xf numFmtId="0" fontId="0" fillId="0" borderId="132" xfId="0" applyBorder="1" applyAlignment="1">
      <alignment horizontal="center" vertical="top" wrapText="1"/>
    </xf>
    <xf numFmtId="179" fontId="22" fillId="24" borderId="0" xfId="57" applyFont="1" applyFill="1" applyAlignment="1" applyProtection="1">
      <alignment vertical="center" wrapText="1"/>
      <protection/>
    </xf>
    <xf numFmtId="0" fontId="0" fillId="0" borderId="0" xfId="0" applyAlignment="1">
      <alignment vertical="center" wrapText="1"/>
    </xf>
    <xf numFmtId="0" fontId="56" fillId="0" borderId="0" xfId="0" applyFont="1" applyBorder="1" applyAlignment="1" applyProtection="1">
      <alignment horizontal="center" vertical="center" wrapText="1"/>
      <protection/>
    </xf>
    <xf numFmtId="0" fontId="8" fillId="0" borderId="158" xfId="0" applyFont="1" applyFill="1" applyBorder="1" applyAlignment="1" applyProtection="1">
      <alignment horizontal="center" vertical="center"/>
      <protection/>
    </xf>
    <xf numFmtId="0" fontId="8" fillId="0" borderId="159"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117" xfId="0" applyFont="1" applyFill="1" applyBorder="1" applyAlignment="1" applyProtection="1">
      <alignment horizontal="center" vertical="center"/>
      <protection/>
    </xf>
    <xf numFmtId="0" fontId="56" fillId="0" borderId="158" xfId="0" applyFont="1" applyBorder="1" applyAlignment="1" applyProtection="1">
      <alignment horizontal="center" vertical="center" wrapText="1"/>
      <protection/>
    </xf>
    <xf numFmtId="0" fontId="56" fillId="0" borderId="159" xfId="0" applyFont="1" applyBorder="1" applyAlignment="1" applyProtection="1">
      <alignment horizontal="center" vertical="center" wrapText="1"/>
      <protection/>
    </xf>
    <xf numFmtId="0" fontId="56" fillId="0" borderId="102" xfId="0" applyFont="1" applyBorder="1" applyAlignment="1" applyProtection="1">
      <alignment horizontal="center" vertical="center" wrapText="1"/>
      <protection/>
    </xf>
    <xf numFmtId="0" fontId="8" fillId="0" borderId="116" xfId="0" applyFont="1" applyBorder="1" applyAlignment="1">
      <alignment horizontal="left" vertical="center" wrapText="1"/>
    </xf>
    <xf numFmtId="0" fontId="9" fillId="0" borderId="1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25" fillId="24" borderId="83" xfId="0" applyFont="1" applyFill="1" applyBorder="1" applyAlignment="1">
      <alignment horizontal="center" wrapText="1"/>
    </xf>
    <xf numFmtId="0" fontId="25" fillId="24" borderId="36" xfId="0" applyFont="1" applyFill="1" applyBorder="1" applyAlignment="1">
      <alignment horizontal="center" wrapText="1"/>
    </xf>
    <xf numFmtId="0" fontId="10" fillId="24" borderId="0" xfId="0" applyFont="1" applyFill="1" applyBorder="1" applyAlignment="1">
      <alignment horizontal="left" vertical="center"/>
    </xf>
    <xf numFmtId="0" fontId="25" fillId="24" borderId="36" xfId="0" applyFont="1" applyFill="1" applyBorder="1" applyAlignment="1">
      <alignment horizontal="center" vertical="center" wrapText="1"/>
    </xf>
    <xf numFmtId="0" fontId="25" fillId="24" borderId="64" xfId="0" applyFont="1" applyFill="1" applyBorder="1" applyAlignment="1">
      <alignment horizontal="center" vertical="center" wrapText="1"/>
    </xf>
    <xf numFmtId="0" fontId="25" fillId="24" borderId="88"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1" xfId="0" applyFont="1" applyFill="1" applyBorder="1" applyAlignment="1">
      <alignment horizontal="center" vertical="center" wrapText="1"/>
    </xf>
    <xf numFmtId="0" fontId="25" fillId="24" borderId="83" xfId="0" applyFont="1" applyFill="1" applyBorder="1" applyAlignment="1">
      <alignment horizontal="center" vertical="center" wrapText="1"/>
    </xf>
    <xf numFmtId="0" fontId="25" fillId="24" borderId="79" xfId="0" applyFont="1" applyFill="1" applyBorder="1" applyAlignment="1">
      <alignment horizontal="center" vertical="center" wrapText="1"/>
    </xf>
    <xf numFmtId="0" fontId="25" fillId="24" borderId="79"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6" xfId="0" applyFont="1" applyFill="1" applyBorder="1" applyAlignment="1">
      <alignment horizontal="center" wrapText="1"/>
    </xf>
    <xf numFmtId="0" fontId="10" fillId="0" borderId="0" xfId="0" applyFont="1" applyBorder="1" applyAlignment="1" applyProtection="1">
      <alignment horizontal="left" vertical="top" wrapText="1"/>
      <protection/>
    </xf>
    <xf numFmtId="0" fontId="25" fillId="0" borderId="116" xfId="0" applyFont="1" applyBorder="1" applyAlignment="1">
      <alignment horizontal="left" vertical="center" wrapText="1"/>
    </xf>
    <xf numFmtId="0" fontId="21" fillId="24" borderId="17" xfId="59"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21" fillId="24" borderId="43" xfId="59" applyFont="1" applyFill="1" applyBorder="1" applyAlignment="1" applyProtection="1">
      <alignment horizontal="center" vertical="center"/>
      <protection/>
    </xf>
    <xf numFmtId="0" fontId="9" fillId="24" borderId="39" xfId="60" applyFont="1" applyFill="1" applyBorder="1" applyAlignment="1">
      <alignment horizontal="center" vertical="center"/>
      <protection/>
    </xf>
    <xf numFmtId="0" fontId="0" fillId="0" borderId="35" xfId="0" applyBorder="1" applyAlignment="1">
      <alignment/>
    </xf>
    <xf numFmtId="0" fontId="0" fillId="0" borderId="37" xfId="0" applyBorder="1" applyAlignment="1">
      <alignment/>
    </xf>
    <xf numFmtId="0" fontId="21" fillId="24" borderId="17" xfId="59" applyFont="1" applyFill="1" applyBorder="1" applyAlignment="1" applyProtection="1">
      <alignment horizontal="center" vertical="center" wrapText="1"/>
      <protection/>
    </xf>
    <xf numFmtId="0" fontId="21" fillId="24" borderId="44" xfId="59"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160" xfId="0" applyFont="1" applyFill="1" applyBorder="1" applyAlignment="1" applyProtection="1">
      <alignment horizontal="center" vertical="center"/>
      <protection/>
    </xf>
    <xf numFmtId="0" fontId="21" fillId="0" borderId="18" xfId="59" applyFont="1" applyFill="1" applyBorder="1" applyAlignment="1" applyProtection="1">
      <alignment horizontal="center" vertical="center" wrapText="1"/>
      <protection/>
    </xf>
    <xf numFmtId="0" fontId="21" fillId="0" borderId="19" xfId="59" applyFont="1" applyFill="1" applyBorder="1" applyAlignment="1" applyProtection="1">
      <alignment horizontal="center" vertical="center" wrapText="1"/>
      <protection/>
    </xf>
    <xf numFmtId="0" fontId="21" fillId="0" borderId="104" xfId="59" applyFont="1" applyFill="1" applyBorder="1" applyAlignment="1" applyProtection="1">
      <alignment horizontal="center" vertical="center" wrapText="1"/>
      <protection/>
    </xf>
    <xf numFmtId="0" fontId="21" fillId="0" borderId="113" xfId="59" applyFont="1" applyFill="1" applyBorder="1" applyAlignment="1" applyProtection="1">
      <alignment horizontal="center" vertical="center" wrapText="1"/>
      <protection/>
    </xf>
    <xf numFmtId="0" fontId="21" fillId="0" borderId="112" xfId="59" applyFont="1" applyFill="1" applyBorder="1" applyAlignment="1" applyProtection="1">
      <alignment horizontal="center" vertical="center" wrapText="1"/>
      <protection/>
    </xf>
    <xf numFmtId="0" fontId="21" fillId="0" borderId="71" xfId="59" applyFont="1" applyFill="1" applyBorder="1" applyAlignment="1" applyProtection="1">
      <alignment horizontal="center" vertical="center" wrapText="1"/>
      <protection/>
    </xf>
    <xf numFmtId="0" fontId="21" fillId="0" borderId="104" xfId="60" applyFont="1" applyFill="1" applyBorder="1" applyAlignment="1" applyProtection="1">
      <alignment horizontal="center" vertical="center" wrapText="1"/>
      <protection/>
    </xf>
    <xf numFmtId="0" fontId="21" fillId="0" borderId="113" xfId="60" applyFont="1" applyFill="1" applyBorder="1" applyAlignment="1" applyProtection="1">
      <alignment horizontal="center" vertical="center" wrapText="1"/>
      <protection/>
    </xf>
    <xf numFmtId="0" fontId="21" fillId="0" borderId="18" xfId="6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1" fillId="0" borderId="17" xfId="60"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21" fillId="0" borderId="104" xfId="60" applyFont="1" applyFill="1" applyBorder="1" applyAlignment="1" applyProtection="1">
      <alignment horizontal="center" vertical="center"/>
      <protection/>
    </xf>
    <xf numFmtId="0" fontId="21" fillId="0" borderId="71" xfId="60" applyFont="1" applyFill="1" applyBorder="1" applyAlignment="1" applyProtection="1">
      <alignment horizontal="center" vertical="center"/>
      <protection/>
    </xf>
    <xf numFmtId="0" fontId="21" fillId="0" borderId="17" xfId="60" applyFont="1" applyFill="1" applyBorder="1" applyAlignment="1" applyProtection="1">
      <alignment horizontal="center" vertical="center"/>
      <protection/>
    </xf>
    <xf numFmtId="0" fontId="0" fillId="0" borderId="44" xfId="0" applyBorder="1" applyAlignment="1">
      <alignment horizontal="center" vertical="center"/>
    </xf>
    <xf numFmtId="0" fontId="21" fillId="0" borderId="19" xfId="60" applyFont="1" applyFill="1" applyBorder="1" applyAlignment="1" applyProtection="1">
      <alignment horizontal="center" vertical="center" wrapText="1"/>
      <protection/>
    </xf>
    <xf numFmtId="0" fontId="9" fillId="0" borderId="17" xfId="61" applyFont="1" applyFill="1" applyBorder="1" applyAlignment="1" applyProtection="1">
      <alignment horizontal="center" vertical="center"/>
      <protection/>
    </xf>
    <xf numFmtId="0" fontId="9" fillId="0" borderId="38" xfId="61" applyFont="1" applyFill="1" applyBorder="1" applyAlignment="1" applyProtection="1">
      <alignment horizontal="center" vertical="center"/>
      <protection/>
    </xf>
    <xf numFmtId="0" fontId="9" fillId="0" borderId="17" xfId="62" applyFont="1" applyFill="1" applyBorder="1" applyAlignment="1" applyProtection="1">
      <alignment horizontal="center" vertical="center"/>
      <protection/>
    </xf>
    <xf numFmtId="0" fontId="9" fillId="0" borderId="38" xfId="62" applyFont="1" applyFill="1" applyBorder="1" applyAlignment="1" applyProtection="1">
      <alignment horizontal="center" vertical="center"/>
      <protection/>
    </xf>
    <xf numFmtId="0" fontId="9" fillId="0" borderId="44" xfId="62" applyFont="1" applyFill="1" applyBorder="1" applyAlignment="1" applyProtection="1">
      <alignment horizontal="center" vertical="center"/>
      <protection/>
    </xf>
    <xf numFmtId="0" fontId="18" fillId="0" borderId="161" xfId="63" applyFont="1" applyFill="1" applyBorder="1" applyAlignment="1" applyProtection="1">
      <alignment horizontal="center" vertical="center" wrapText="1"/>
      <protection/>
    </xf>
    <xf numFmtId="0" fontId="18" fillId="0" borderId="26" xfId="63" applyFont="1" applyFill="1" applyBorder="1" applyAlignment="1" applyProtection="1">
      <alignment horizontal="center" vertical="center" wrapText="1"/>
      <protection/>
    </xf>
    <xf numFmtId="0" fontId="49" fillId="0" borderId="0" xfId="0" applyFont="1" applyAlignment="1">
      <alignment horizontal="center" wrapText="1"/>
    </xf>
    <xf numFmtId="0" fontId="49" fillId="0" borderId="116" xfId="0" applyFont="1" applyBorder="1" applyAlignment="1">
      <alignment horizontal="center" wrapText="1"/>
    </xf>
    <xf numFmtId="0" fontId="0" fillId="0" borderId="38" xfId="0" applyBorder="1" applyAlignment="1">
      <alignment horizontal="center" vertical="center" wrapText="1"/>
    </xf>
    <xf numFmtId="0" fontId="18" fillId="0" borderId="104" xfId="64" applyFont="1" applyFill="1" applyBorder="1" applyAlignment="1" applyProtection="1">
      <alignment horizontal="center" vertical="center" wrapText="1"/>
      <protection/>
    </xf>
    <xf numFmtId="0" fontId="18" fillId="0" borderId="113" xfId="64" applyFont="1" applyFill="1" applyBorder="1" applyAlignment="1" applyProtection="1">
      <alignment horizontal="center" vertical="center" wrapText="1"/>
      <protection/>
    </xf>
    <xf numFmtId="0" fontId="86" fillId="0" borderId="18" xfId="0" applyFont="1" applyBorder="1" applyAlignment="1">
      <alignment horizontal="center" vertical="center" wrapText="1"/>
    </xf>
    <xf numFmtId="0" fontId="0" fillId="0" borderId="19" xfId="0" applyBorder="1" applyAlignment="1">
      <alignment vertical="center" wrapText="1"/>
    </xf>
    <xf numFmtId="0" fontId="18" fillId="0" borderId="18" xfId="64" applyFont="1" applyFill="1" applyBorder="1" applyAlignment="1" applyProtection="1">
      <alignment horizontal="center" vertical="center" wrapText="1"/>
      <protection/>
    </xf>
    <xf numFmtId="0" fontId="18" fillId="0" borderId="104" xfId="64" applyFont="1" applyFill="1" applyBorder="1" applyAlignment="1" applyProtection="1">
      <alignment horizontal="center" vertical="center" wrapText="1"/>
      <protection locked="0"/>
    </xf>
    <xf numFmtId="0" fontId="0" fillId="0" borderId="113" xfId="0" applyBorder="1" applyAlignment="1">
      <alignment/>
    </xf>
    <xf numFmtId="0" fontId="18" fillId="0" borderId="18" xfId="64" applyFont="1" applyBorder="1" applyAlignment="1">
      <alignment horizontal="center" vertical="center" wrapText="1"/>
      <protection/>
    </xf>
    <xf numFmtId="0" fontId="18" fillId="0" borderId="18" xfId="64" applyFont="1" applyFill="1" applyBorder="1" applyAlignment="1" applyProtection="1">
      <alignment horizontal="center" vertical="center" wrapText="1"/>
      <protection/>
    </xf>
    <xf numFmtId="0" fontId="9" fillId="29" borderId="162" xfId="0" applyFont="1" applyFill="1" applyBorder="1" applyAlignment="1">
      <alignment horizontal="center" vertical="top" wrapText="1"/>
    </xf>
    <xf numFmtId="0" fontId="9" fillId="29" borderId="163" xfId="0" applyFont="1" applyFill="1" applyBorder="1" applyAlignment="1">
      <alignment horizontal="center" vertical="top" wrapText="1"/>
    </xf>
    <xf numFmtId="0" fontId="119" fillId="0" borderId="116" xfId="0" applyFont="1" applyBorder="1" applyAlignment="1">
      <alignment horizontal="center" vertical="center" wrapText="1"/>
    </xf>
    <xf numFmtId="0" fontId="0" fillId="0" borderId="164" xfId="0" applyBorder="1" applyAlignment="1" applyProtection="1">
      <alignment vertical="top" wrapText="1"/>
      <protection locked="0"/>
    </xf>
    <xf numFmtId="0" fontId="0" fillId="0" borderId="152" xfId="0" applyBorder="1" applyAlignment="1" applyProtection="1">
      <alignment vertical="top" wrapText="1"/>
      <protection locked="0"/>
    </xf>
    <xf numFmtId="0" fontId="0" fillId="0" borderId="73" xfId="0" applyBorder="1" applyAlignment="1" applyProtection="1">
      <alignment vertical="top" wrapText="1"/>
      <protection locked="0"/>
    </xf>
    <xf numFmtId="0" fontId="26" fillId="0" borderId="46" xfId="0" applyFont="1" applyBorder="1" applyAlignment="1">
      <alignment horizontal="center"/>
    </xf>
    <xf numFmtId="0" fontId="26" fillId="0" borderId="12" xfId="0" applyFont="1" applyBorder="1" applyAlignment="1">
      <alignment horizontal="center"/>
    </xf>
    <xf numFmtId="0" fontId="26" fillId="0" borderId="31" xfId="0" applyFont="1" applyBorder="1" applyAlignment="1">
      <alignment horizontal="center"/>
    </xf>
    <xf numFmtId="0" fontId="116" fillId="0" borderId="159" xfId="0" applyFont="1" applyBorder="1" applyAlignment="1">
      <alignment horizontal="center"/>
    </xf>
    <xf numFmtId="0" fontId="124" fillId="0" borderId="22" xfId="0" applyFont="1" applyBorder="1" applyAlignment="1">
      <alignment horizontal="left" vertical="center" wrapText="1"/>
    </xf>
    <xf numFmtId="0" fontId="124"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25" fillId="0" borderId="116" xfId="0" applyFont="1" applyBorder="1" applyAlignment="1" applyProtection="1">
      <alignment horizontal="right" vertical="top" wrapText="1"/>
      <protection/>
    </xf>
    <xf numFmtId="0" fontId="126" fillId="0" borderId="116" xfId="0" applyFont="1" applyBorder="1" applyAlignment="1" applyProtection="1">
      <alignment horizontal="right"/>
      <protection/>
    </xf>
    <xf numFmtId="3" fontId="17" fillId="0" borderId="143"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4" xfId="0" applyNumberFormat="1" applyFont="1" applyFill="1" applyBorder="1" applyAlignment="1" applyProtection="1">
      <alignment wrapText="1"/>
      <protection locked="0"/>
    </xf>
    <xf numFmtId="0" fontId="17" fillId="0" borderId="165" xfId="0" applyNumberFormat="1" applyFont="1" applyFill="1" applyBorder="1" applyAlignment="1" applyProtection="1">
      <alignment wrapText="1"/>
      <protection locked="0"/>
    </xf>
    <xf numFmtId="0" fontId="8" fillId="0" borderId="64" xfId="0" applyFont="1" applyBorder="1" applyAlignment="1">
      <alignment horizontal="center"/>
    </xf>
    <xf numFmtId="0" fontId="8" fillId="0" borderId="135"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5"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5" xfId="0" applyFont="1" applyBorder="1" applyAlignment="1">
      <alignment horizontal="center"/>
    </xf>
    <xf numFmtId="0" fontId="8" fillId="0" borderId="60" xfId="0" applyFont="1" applyBorder="1" applyAlignment="1">
      <alignment horizontal="center"/>
    </xf>
    <xf numFmtId="0" fontId="49" fillId="0" borderId="0" xfId="0" applyFont="1" applyAlignment="1">
      <alignment horizontal="center" vertical="center" wrapText="1"/>
    </xf>
    <xf numFmtId="0" fontId="22" fillId="0" borderId="158" xfId="0" applyFont="1" applyBorder="1" applyAlignment="1">
      <alignment horizontal="left" wrapText="1"/>
    </xf>
    <xf numFmtId="0" fontId="22" fillId="0" borderId="159" xfId="0" applyFont="1" applyBorder="1" applyAlignment="1">
      <alignment horizontal="left" wrapText="1"/>
    </xf>
    <xf numFmtId="0" fontId="22" fillId="0" borderId="102" xfId="0" applyFont="1" applyBorder="1" applyAlignment="1">
      <alignment horizontal="left" wrapText="1"/>
    </xf>
    <xf numFmtId="10" fontId="6" fillId="0" borderId="166" xfId="67" applyNumberFormat="1" applyFont="1" applyBorder="1" applyAlignment="1">
      <alignment horizontal="center" vertical="center" wrapText="1"/>
    </xf>
    <xf numFmtId="10" fontId="6" fillId="0" borderId="162" xfId="67" applyNumberFormat="1" applyFont="1" applyBorder="1" applyAlignment="1">
      <alignment horizontal="center" vertical="center" wrapText="1"/>
    </xf>
    <xf numFmtId="10" fontId="6" fillId="0" borderId="163" xfId="67" applyNumberFormat="1" applyFont="1" applyBorder="1" applyAlignment="1">
      <alignment horizontal="center" vertical="center" wrapText="1"/>
    </xf>
    <xf numFmtId="0" fontId="14" fillId="0" borderId="164" xfId="0" applyFont="1" applyBorder="1" applyAlignment="1">
      <alignment horizontal="right"/>
    </xf>
    <xf numFmtId="0" fontId="14" fillId="0" borderId="152" xfId="0" applyFont="1" applyBorder="1" applyAlignment="1">
      <alignment horizontal="right"/>
    </xf>
    <xf numFmtId="0" fontId="14" fillId="0" borderId="167" xfId="0" applyFont="1" applyBorder="1" applyAlignment="1">
      <alignment horizontal="right"/>
    </xf>
    <xf numFmtId="0" fontId="22" fillId="0" borderId="158" xfId="0" applyFont="1" applyBorder="1" applyAlignment="1">
      <alignment horizontal="left" vertical="top" wrapText="1"/>
    </xf>
    <xf numFmtId="0" fontId="22" fillId="0" borderId="159" xfId="0" applyFont="1" applyBorder="1" applyAlignment="1">
      <alignment horizontal="left" vertical="top" wrapText="1"/>
    </xf>
    <xf numFmtId="0" fontId="22" fillId="0" borderId="102" xfId="0" applyFont="1" applyBorder="1" applyAlignment="1">
      <alignment horizontal="left" vertical="top" wrapText="1"/>
    </xf>
    <xf numFmtId="0" fontId="6" fillId="0" borderId="158"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58" xfId="0" applyFont="1" applyBorder="1" applyAlignment="1">
      <alignment horizontal="center" vertical="center" wrapText="1"/>
    </xf>
    <xf numFmtId="0" fontId="0" fillId="0" borderId="159" xfId="0" applyFont="1" applyBorder="1" applyAlignment="1">
      <alignment horizontal="center" vertical="center"/>
    </xf>
    <xf numFmtId="3" fontId="32" fillId="0" borderId="149" xfId="0" applyNumberFormat="1" applyFont="1" applyBorder="1" applyAlignment="1">
      <alignment horizontal="center"/>
    </xf>
    <xf numFmtId="0" fontId="0" fillId="0" borderId="159" xfId="0" applyFont="1" applyBorder="1" applyAlignment="1">
      <alignment/>
    </xf>
    <xf numFmtId="0" fontId="0" fillId="0" borderId="102" xfId="0" applyFont="1" applyBorder="1" applyAlignment="1">
      <alignment/>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59"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xf>
    <xf numFmtId="0" fontId="0" fillId="0" borderId="160"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5" xfId="0" applyFont="1" applyBorder="1" applyAlignment="1">
      <alignment horizontal="center" vertical="center"/>
    </xf>
    <xf numFmtId="0" fontId="13" fillId="0" borderId="0" xfId="0" applyFont="1" applyAlignment="1">
      <alignment horizontal="left" wrapText="1"/>
    </xf>
    <xf numFmtId="0" fontId="22" fillId="24" borderId="10" xfId="0" applyFont="1" applyFill="1" applyBorder="1" applyAlignment="1">
      <alignment horizontal="center" vertical="center" wrapText="1"/>
    </xf>
    <xf numFmtId="0" fontId="22" fillId="24" borderId="160" xfId="0" applyFont="1" applyFill="1" applyBorder="1" applyAlignment="1">
      <alignment horizontal="center" vertical="center" wrapText="1"/>
    </xf>
    <xf numFmtId="0" fontId="22" fillId="24" borderId="78" xfId="0" applyFont="1" applyFill="1" applyBorder="1" applyAlignment="1">
      <alignment horizontal="center" vertical="center" wrapText="1"/>
    </xf>
    <xf numFmtId="0" fontId="22" fillId="24" borderId="98" xfId="0" applyFont="1" applyFill="1" applyBorder="1" applyAlignment="1">
      <alignment horizontal="center" vertical="center" wrapText="1"/>
    </xf>
    <xf numFmtId="0" fontId="22" fillId="24" borderId="143" xfId="0" applyFont="1" applyFill="1" applyBorder="1" applyAlignment="1">
      <alignment horizontal="center" vertical="center" wrapText="1"/>
    </xf>
    <xf numFmtId="0" fontId="22" fillId="24" borderId="144"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22" fillId="0" borderId="80" xfId="0" applyFont="1" applyBorder="1" applyAlignment="1">
      <alignment horizontal="center" wrapText="1"/>
    </xf>
  </cellXfs>
  <cellStyles count="6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 4 2" xfId="54"/>
    <cellStyle name="Normale_ENTI LOCALI  2000" xfId="55"/>
    <cellStyle name="Normale_MINISTERI" xfId="56"/>
    <cellStyle name="Normale_PRINFEL98" xfId="57"/>
    <cellStyle name="Normale_Prospetto informativo 2001" xfId="58"/>
    <cellStyle name="Normale_tabella 4" xfId="59"/>
    <cellStyle name="Normale_tabella 5" xfId="60"/>
    <cellStyle name="Normale_tabella 6" xfId="61"/>
    <cellStyle name="Normale_tabella 7" xfId="62"/>
    <cellStyle name="Normale_tabella 8" xfId="63"/>
    <cellStyle name="Normale_tabella 9" xfId="64"/>
    <cellStyle name="Nota" xfId="65"/>
    <cellStyle name="Output" xfId="66"/>
    <cellStyle name="Percent" xfId="67"/>
    <cellStyle name="Percentuale 2" xfId="68"/>
    <cellStyle name="Percentuale 2 2" xfId="69"/>
    <cellStyle name="Testo avviso" xfId="70"/>
    <cellStyle name="Testo descrittivo"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Valuta (0)_3tabella15" xfId="81"/>
    <cellStyle name="Currency [0]" xfId="82"/>
  </cellStyles>
  <dxfs count="16">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375"/>
          <c:w val="0.999"/>
          <c:h val="0.671"/>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SI_1!$B$186:$B$202</c:f>
              <c:strCache/>
            </c:strRef>
          </c:cat>
          <c:val>
            <c:numRef>
              <c:f>SI_1!$C$186:$C$202</c:f>
              <c:numCache/>
            </c:numRef>
          </c:val>
        </c:ser>
        <c:axId val="28494450"/>
        <c:axId val="55123459"/>
      </c:barChart>
      <c:catAx>
        <c:axId val="2849445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55123459"/>
        <c:crossesAt val="0"/>
        <c:auto val="1"/>
        <c:lblOffset val="100"/>
        <c:tickLblSkip val="1"/>
        <c:noMultiLvlLbl val="0"/>
      </c:catAx>
      <c:valAx>
        <c:axId val="55123459"/>
        <c:scaling>
          <c:orientation val="minMax"/>
          <c:max val="1"/>
        </c:scaling>
        <c:axPos val="l"/>
        <c:delete val="1"/>
        <c:majorTickMark val="out"/>
        <c:minorTickMark val="none"/>
        <c:tickLblPos val="nextTo"/>
        <c:crossAx val="28494450"/>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875"/>
          <c:w val="0.995"/>
          <c:h val="0.787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SI_1!$E$186:$E$203</c:f>
              <c:strCache/>
            </c:strRef>
          </c:cat>
          <c:val>
            <c:numRef>
              <c:f>SI_1!$F$186:$F$203</c:f>
              <c:numCache/>
            </c:numRef>
          </c:val>
        </c:ser>
        <c:axId val="26349084"/>
        <c:axId val="35815165"/>
      </c:barChart>
      <c:catAx>
        <c:axId val="2634908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700" b="1" i="0" u="none" baseline="0">
                <a:solidFill>
                  <a:srgbClr val="000000"/>
                </a:solidFill>
              </a:defRPr>
            </a:pPr>
          </a:p>
        </c:txPr>
        <c:crossAx val="35815165"/>
        <c:crosses val="autoZero"/>
        <c:auto val="1"/>
        <c:lblOffset val="100"/>
        <c:tickLblSkip val="1"/>
        <c:noMultiLvlLbl val="0"/>
      </c:catAx>
      <c:valAx>
        <c:axId val="35815165"/>
        <c:scaling>
          <c:orientation val="minMax"/>
        </c:scaling>
        <c:axPos val="l"/>
        <c:delete val="1"/>
        <c:majorTickMark val="out"/>
        <c:minorTickMark val="none"/>
        <c:tickLblPos val="nextTo"/>
        <c:crossAx val="263490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74783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74783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6</xdr:col>
      <xdr:colOff>1457325</xdr:colOff>
      <xdr:row>184</xdr:row>
      <xdr:rowOff>95250</xdr:rowOff>
    </xdr:to>
    <xdr:graphicFrame>
      <xdr:nvGraphicFramePr>
        <xdr:cNvPr id="5" name="Chart 20"/>
        <xdr:cNvGraphicFramePr/>
      </xdr:nvGraphicFramePr>
      <xdr:xfrm>
        <a:off x="371475" y="18621375"/>
        <a:ext cx="9867900" cy="10191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11"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2"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6295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009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8</xdr:col>
      <xdr:colOff>314325</xdr:colOff>
      <xdr:row>2</xdr:row>
      <xdr:rowOff>295275</xdr:rowOff>
    </xdr:to>
    <xdr:sp>
      <xdr:nvSpPr>
        <xdr:cNvPr id="1" name="Testo 2"/>
        <xdr:cNvSpPr txBox="1">
          <a:spLocks noChangeArrowheads="1"/>
        </xdr:cNvSpPr>
      </xdr:nvSpPr>
      <xdr:spPr>
        <a:xfrm>
          <a:off x="0" y="657225"/>
          <a:ext cx="7934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933700"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677900"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161925</xdr:colOff>
      <xdr:row>1</xdr:row>
      <xdr:rowOff>285750</xdr:rowOff>
    </xdr:to>
    <xdr:sp>
      <xdr:nvSpPr>
        <xdr:cNvPr id="1" name="Testo 3"/>
        <xdr:cNvSpPr txBox="1">
          <a:spLocks noChangeArrowheads="1"/>
        </xdr:cNvSpPr>
      </xdr:nvSpPr>
      <xdr:spPr>
        <a:xfrm>
          <a:off x="0" y="581025"/>
          <a:ext cx="58959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876300</xdr:colOff>
      <xdr:row>1</xdr:row>
      <xdr:rowOff>276225</xdr:rowOff>
    </xdr:to>
    <xdr:sp>
      <xdr:nvSpPr>
        <xdr:cNvPr id="1" name="Testo 3"/>
        <xdr:cNvSpPr txBox="1">
          <a:spLocks noChangeArrowheads="1"/>
        </xdr:cNvSpPr>
      </xdr:nvSpPr>
      <xdr:spPr>
        <a:xfrm>
          <a:off x="0" y="457200"/>
          <a:ext cx="67913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35</xdr:col>
      <xdr:colOff>695325</xdr:colOff>
      <xdr:row>1</xdr:row>
      <xdr:rowOff>276225</xdr:rowOff>
    </xdr:to>
    <xdr:sp>
      <xdr:nvSpPr>
        <xdr:cNvPr id="1" name="Testo 3"/>
        <xdr:cNvSpPr txBox="1">
          <a:spLocks noChangeArrowheads="1"/>
        </xdr:cNvSpPr>
      </xdr:nvSpPr>
      <xdr:spPr>
        <a:xfrm>
          <a:off x="0" y="504825"/>
          <a:ext cx="65151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8924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8924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5</xdr:col>
      <xdr:colOff>1314450</xdr:colOff>
      <xdr:row>3</xdr:row>
      <xdr:rowOff>0</xdr:rowOff>
    </xdr:from>
    <xdr:to>
      <xdr:col>5</xdr:col>
      <xdr:colOff>1314450</xdr:colOff>
      <xdr:row>3</xdr:row>
      <xdr:rowOff>0</xdr:rowOff>
    </xdr:to>
    <xdr:sp fLocksText="0">
      <xdr:nvSpPr>
        <xdr:cNvPr id="2" name="Text Box 5"/>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5</xdr:col>
      <xdr:colOff>1314450</xdr:colOff>
      <xdr:row>3</xdr:row>
      <xdr:rowOff>0</xdr:rowOff>
    </xdr:from>
    <xdr:to>
      <xdr:col>5</xdr:col>
      <xdr:colOff>1314450</xdr:colOff>
      <xdr:row>3</xdr:row>
      <xdr:rowOff>0</xdr:rowOff>
    </xdr:to>
    <xdr:sp fLocksText="0">
      <xdr:nvSpPr>
        <xdr:cNvPr id="3" name="Text Box 7"/>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658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658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4580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4580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609600</xdr:colOff>
      <xdr:row>1</xdr:row>
      <xdr:rowOff>276225</xdr:rowOff>
    </xdr:to>
    <xdr:sp>
      <xdr:nvSpPr>
        <xdr:cNvPr id="1" name="Testo 9"/>
        <xdr:cNvSpPr txBox="1">
          <a:spLocks noChangeArrowheads="1"/>
        </xdr:cNvSpPr>
      </xdr:nvSpPr>
      <xdr:spPr>
        <a:xfrm>
          <a:off x="9525" y="342900"/>
          <a:ext cx="65627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619125</xdr:colOff>
      <xdr:row>1</xdr:row>
      <xdr:rowOff>295275</xdr:rowOff>
    </xdr:to>
    <xdr:sp>
      <xdr:nvSpPr>
        <xdr:cNvPr id="1" name="Testo 9"/>
        <xdr:cNvSpPr txBox="1">
          <a:spLocks noChangeArrowheads="1"/>
        </xdr:cNvSpPr>
      </xdr:nvSpPr>
      <xdr:spPr>
        <a:xfrm>
          <a:off x="0" y="590550"/>
          <a:ext cx="4419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133350</xdr:rowOff>
    </xdr:to>
    <xdr:sp>
      <xdr:nvSpPr>
        <xdr:cNvPr id="1" name="Testo 9"/>
        <xdr:cNvSpPr txBox="1">
          <a:spLocks noChangeArrowheads="1"/>
        </xdr:cNvSpPr>
      </xdr:nvSpPr>
      <xdr:spPr>
        <a:xfrm>
          <a:off x="361950" y="590550"/>
          <a:ext cx="8610600" cy="2667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7626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5</xdr:col>
      <xdr:colOff>647700</xdr:colOff>
      <xdr:row>1</xdr:row>
      <xdr:rowOff>295275</xdr:rowOff>
    </xdr:to>
    <xdr:sp>
      <xdr:nvSpPr>
        <xdr:cNvPr id="1" name="Testo 9"/>
        <xdr:cNvSpPr txBox="1">
          <a:spLocks noChangeArrowheads="1"/>
        </xdr:cNvSpPr>
      </xdr:nvSpPr>
      <xdr:spPr>
        <a:xfrm>
          <a:off x="9525" y="590550"/>
          <a:ext cx="62960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696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438150</xdr:colOff>
      <xdr:row>1</xdr:row>
      <xdr:rowOff>285750</xdr:rowOff>
    </xdr:to>
    <xdr:sp>
      <xdr:nvSpPr>
        <xdr:cNvPr id="1" name="Testo 13"/>
        <xdr:cNvSpPr txBox="1">
          <a:spLocks noChangeArrowheads="1"/>
        </xdr:cNvSpPr>
      </xdr:nvSpPr>
      <xdr:spPr>
        <a:xfrm>
          <a:off x="0" y="581025"/>
          <a:ext cx="66675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4" hidden="1" customWidth="1"/>
    <col min="11" max="11" width="38.83203125" style="344" customWidth="1"/>
    <col min="12" max="16384" width="6.33203125" style="344" customWidth="1"/>
  </cols>
  <sheetData>
    <row r="1" ht="57.75" customHeight="1">
      <c r="A1" s="487" t="s">
        <v>304</v>
      </c>
    </row>
    <row r="2" spans="1:7" s="345" customFormat="1" ht="20.25" customHeight="1">
      <c r="A2" s="488" t="s">
        <v>440</v>
      </c>
      <c r="B2" s="366"/>
      <c r="C2" s="998"/>
      <c r="D2" s="998"/>
      <c r="E2" s="998"/>
      <c r="F2" s="998"/>
      <c r="G2" s="366"/>
    </row>
    <row r="3" spans="1:7" s="345" customFormat="1" ht="27" customHeight="1">
      <c r="A3" s="395"/>
      <c r="B3" s="1002" t="str">
        <f>'t1'!A1</f>
        <v>ENTI ART. 60 - anno 2019</v>
      </c>
      <c r="C3" s="1002"/>
      <c r="D3" s="1002"/>
      <c r="E3" s="1002"/>
      <c r="F3" s="1002"/>
      <c r="G3" s="1002"/>
    </row>
    <row r="4" spans="3:8" ht="12.75">
      <c r="C4" s="368"/>
      <c r="D4" s="368"/>
      <c r="E4" s="368"/>
      <c r="F4" s="368"/>
      <c r="H4" s="346"/>
    </row>
    <row r="5" spans="5:8" ht="12.75">
      <c r="E5" s="367"/>
      <c r="H5" s="346"/>
    </row>
    <row r="6" spans="2:7" ht="18" customHeight="1">
      <c r="B6" s="966" t="s">
        <v>354</v>
      </c>
      <c r="C6" s="967"/>
      <c r="D6" s="967"/>
      <c r="E6" s="967"/>
      <c r="F6" s="967"/>
      <c r="G6" s="968"/>
    </row>
    <row r="7" ht="6" customHeight="1"/>
    <row r="8" spans="1:7" ht="19.5" customHeight="1" hidden="1">
      <c r="A8" s="396"/>
      <c r="B8" s="365" t="s">
        <v>264</v>
      </c>
      <c r="D8" s="369"/>
      <c r="E8" s="977"/>
      <c r="F8" s="978"/>
      <c r="G8" s="976"/>
    </row>
    <row r="9" spans="1:11" ht="28.5" customHeight="1" hidden="1">
      <c r="A9" s="396"/>
      <c r="B9" s="347" t="s">
        <v>265</v>
      </c>
      <c r="C9" s="347"/>
      <c r="D9" s="724"/>
      <c r="E9" s="999"/>
      <c r="F9" s="1000"/>
      <c r="G9" s="1001"/>
      <c r="K9" s="489"/>
    </row>
    <row r="10" spans="1:11" ht="28.5" customHeight="1">
      <c r="A10" s="396"/>
      <c r="B10" s="347" t="s">
        <v>266</v>
      </c>
      <c r="C10" s="347"/>
      <c r="D10" s="369"/>
      <c r="E10" s="977"/>
      <c r="F10" s="978"/>
      <c r="G10" s="976"/>
      <c r="K10" s="489"/>
    </row>
    <row r="11" spans="1:11" ht="28.5" customHeight="1">
      <c r="A11" s="396"/>
      <c r="B11" s="347" t="s">
        <v>267</v>
      </c>
      <c r="C11" s="347"/>
      <c r="D11" s="369"/>
      <c r="E11" s="977"/>
      <c r="F11" s="978"/>
      <c r="G11" s="976"/>
      <c r="K11" s="489"/>
    </row>
    <row r="12" spans="1:11" ht="28.5" customHeight="1">
      <c r="A12" s="396"/>
      <c r="B12" s="347" t="s">
        <v>268</v>
      </c>
      <c r="C12" s="347"/>
      <c r="D12" s="369"/>
      <c r="E12" s="975"/>
      <c r="F12" s="978"/>
      <c r="G12" s="976"/>
      <c r="K12" s="489"/>
    </row>
    <row r="13" spans="1:11" ht="28.5" customHeight="1" hidden="1">
      <c r="A13" s="396"/>
      <c r="B13" s="347" t="s">
        <v>269</v>
      </c>
      <c r="C13" s="657"/>
      <c r="D13" s="658"/>
      <c r="E13" s="659"/>
      <c r="F13" s="660"/>
      <c r="G13" s="661"/>
      <c r="H13" s="575"/>
      <c r="I13" s="576"/>
      <c r="J13" s="563"/>
      <c r="K13" s="577"/>
    </row>
    <row r="14" spans="1:7" s="349" customFormat="1" ht="20.25" customHeight="1" hidden="1">
      <c r="A14" s="396"/>
      <c r="B14" s="348"/>
      <c r="C14" s="370" t="s">
        <v>270</v>
      </c>
      <c r="D14" s="371" t="s">
        <v>293</v>
      </c>
      <c r="E14" s="370" t="s">
        <v>271</v>
      </c>
      <c r="F14" s="370" t="s">
        <v>310</v>
      </c>
      <c r="G14" s="370"/>
    </row>
    <row r="15" spans="1:7" s="518" customFormat="1" ht="28.5" customHeight="1">
      <c r="A15" s="365"/>
      <c r="B15" s="347" t="s">
        <v>54</v>
      </c>
      <c r="C15" s="517"/>
      <c r="D15" s="1003"/>
      <c r="E15" s="1004"/>
      <c r="F15" s="1004"/>
      <c r="G15" s="1005"/>
    </row>
    <row r="16" spans="1:7" ht="18" customHeight="1">
      <c r="A16" s="396"/>
      <c r="B16" s="966" t="s">
        <v>349</v>
      </c>
      <c r="C16" s="967"/>
      <c r="D16" s="967"/>
      <c r="E16" s="967"/>
      <c r="F16" s="967"/>
      <c r="G16" s="968"/>
    </row>
    <row r="17" spans="1:7" s="350" customFormat="1" ht="15" customHeight="1">
      <c r="A17" s="396"/>
      <c r="B17" s="372" t="s">
        <v>272</v>
      </c>
      <c r="C17" s="699"/>
      <c r="D17" s="699"/>
      <c r="E17" s="699"/>
      <c r="F17" s="699"/>
      <c r="G17" s="699"/>
    </row>
    <row r="18" spans="1:7" s="350" customFormat="1" ht="15">
      <c r="A18" s="396"/>
      <c r="B18" s="374" t="s">
        <v>273</v>
      </c>
      <c r="C18" s="374"/>
      <c r="D18" s="374" t="s">
        <v>274</v>
      </c>
      <c r="E18" s="374"/>
      <c r="F18" s="375" t="s">
        <v>286</v>
      </c>
      <c r="G18" s="693"/>
    </row>
    <row r="19" spans="1:11" ht="22.5" customHeight="1">
      <c r="A19" s="396"/>
      <c r="B19" s="977"/>
      <c r="C19" s="978"/>
      <c r="D19" s="977"/>
      <c r="E19" s="978"/>
      <c r="F19" s="975"/>
      <c r="G19" s="976"/>
      <c r="K19" s="490"/>
    </row>
    <row r="20" spans="1:7" s="350" customFormat="1" ht="15" customHeight="1">
      <c r="A20" s="396"/>
      <c r="B20" s="372" t="s">
        <v>275</v>
      </c>
      <c r="C20" s="373"/>
      <c r="D20" s="374"/>
      <c r="E20" s="374"/>
      <c r="F20" s="699"/>
      <c r="G20" s="699"/>
    </row>
    <row r="21" spans="1:7" s="350" customFormat="1" ht="15" customHeight="1">
      <c r="A21" s="396"/>
      <c r="B21" s="374" t="s">
        <v>273</v>
      </c>
      <c r="C21" s="374"/>
      <c r="D21" s="374" t="s">
        <v>274</v>
      </c>
      <c r="E21" s="374"/>
      <c r="F21" s="375" t="s">
        <v>286</v>
      </c>
      <c r="G21" s="694"/>
    </row>
    <row r="22" spans="1:11" ht="23.25" customHeight="1">
      <c r="A22" s="396"/>
      <c r="B22" s="964"/>
      <c r="C22" s="965"/>
      <c r="D22" s="964"/>
      <c r="E22" s="965"/>
      <c r="F22" s="964"/>
      <c r="G22" s="965"/>
      <c r="K22" s="490" t="str">
        <f>IF(OR(LEN(B22)&gt;0,LEN(D22)&gt;0),IF(LEN(F22)=0,"E' NECESSARIO COMPILARE IL CAMPO E-MAIL"," ")," ")</f>
        <v> </v>
      </c>
    </row>
    <row r="23" spans="1:11" ht="23.25" customHeight="1">
      <c r="A23" s="396"/>
      <c r="B23" s="964"/>
      <c r="C23" s="965"/>
      <c r="D23" s="964"/>
      <c r="E23" s="965"/>
      <c r="F23" s="964"/>
      <c r="G23" s="965"/>
      <c r="K23" s="490" t="str">
        <f>IF(OR(LEN(B23)&gt;0,LEN(D23)&gt;0),IF(LEN(F23)=0,"E' NECESSARIO COMPILARE IL CAMPO E-MAIL"," ")," ")</f>
        <v> </v>
      </c>
    </row>
    <row r="24" spans="1:11" ht="23.25" customHeight="1">
      <c r="A24" s="396"/>
      <c r="B24" s="964"/>
      <c r="C24" s="965"/>
      <c r="D24" s="964"/>
      <c r="E24" s="965"/>
      <c r="F24" s="964"/>
      <c r="G24" s="965"/>
      <c r="K24" s="490" t="str">
        <f>IF(OR(LEN(B24)&gt;0,LEN(D24)&gt;0),IF(LEN(F24)=0,"E' NECESSARIO COMPILARE IL CAMPO E-MAIL"," ")," ")</f>
        <v> </v>
      </c>
    </row>
    <row r="25" spans="1:11" ht="23.25" customHeight="1">
      <c r="A25" s="396"/>
      <c r="B25" s="964"/>
      <c r="C25" s="965"/>
      <c r="D25" s="964"/>
      <c r="E25" s="965"/>
      <c r="F25" s="964"/>
      <c r="G25" s="965"/>
      <c r="K25" s="490" t="str">
        <f>IF(OR(LEN(B25)&gt;0,LEN(D25)&gt;0),IF(LEN(F25)=0,"E' NECESSARIO COMPILARE IL CAMPO E-MAIL"," ")," ")</f>
        <v> </v>
      </c>
    </row>
    <row r="26" spans="1:11" ht="23.25" customHeight="1">
      <c r="A26" s="396"/>
      <c r="B26" s="964"/>
      <c r="C26" s="965"/>
      <c r="D26" s="964"/>
      <c r="E26" s="965"/>
      <c r="F26" s="964"/>
      <c r="G26" s="965"/>
      <c r="K26" s="490" t="str">
        <f>IF(OR(LEN(B26)&gt;0,LEN(D26)&gt;0),IF(LEN(F26)=0,"E' NECESSARIO COMPILARE IL CAMPO E-MAIL"," ")," ")</f>
        <v> </v>
      </c>
    </row>
    <row r="27" spans="1:7" s="346" customFormat="1" ht="18">
      <c r="A27" s="396"/>
      <c r="B27" s="376"/>
      <c r="C27" s="377"/>
      <c r="D27" s="377"/>
      <c r="E27" s="378"/>
      <c r="F27" s="379"/>
      <c r="G27" s="379"/>
    </row>
    <row r="28" spans="1:8" ht="18" customHeight="1">
      <c r="A28" s="396"/>
      <c r="B28" s="381" t="s">
        <v>276</v>
      </c>
      <c r="C28" s="380"/>
      <c r="D28" s="380"/>
      <c r="E28" s="382"/>
      <c r="F28" s="383"/>
      <c r="G28" s="383"/>
      <c r="H28" s="351"/>
    </row>
    <row r="29" spans="1:8" ht="13.5" customHeight="1">
      <c r="A29" s="396"/>
      <c r="B29" s="380"/>
      <c r="C29" s="380"/>
      <c r="D29" s="380"/>
      <c r="E29" s="382"/>
      <c r="F29" s="384"/>
      <c r="G29" s="384"/>
      <c r="H29" s="351"/>
    </row>
    <row r="30" spans="1:8" ht="18" customHeight="1">
      <c r="A30" s="396"/>
      <c r="B30" s="966" t="s">
        <v>350</v>
      </c>
      <c r="C30" s="967"/>
      <c r="D30" s="967"/>
      <c r="E30" s="967"/>
      <c r="F30" s="967"/>
      <c r="G30" s="968"/>
      <c r="H30" s="351"/>
    </row>
    <row r="31" spans="1:7" ht="7.5" customHeight="1">
      <c r="A31" s="396"/>
      <c r="B31" s="743"/>
      <c r="C31" s="744"/>
      <c r="D31" s="744"/>
      <c r="E31" s="367"/>
      <c r="F31" s="744"/>
      <c r="G31" s="744"/>
    </row>
    <row r="32" spans="1:7" s="352" customFormat="1" ht="15.75" customHeight="1">
      <c r="A32" s="396"/>
      <c r="B32" s="745" t="s">
        <v>528</v>
      </c>
      <c r="C32" s="745"/>
      <c r="D32" s="745" t="s">
        <v>529</v>
      </c>
      <c r="E32" s="745" t="s">
        <v>530</v>
      </c>
      <c r="F32" s="855" t="s">
        <v>531</v>
      </c>
      <c r="G32" s="746" t="s">
        <v>277</v>
      </c>
    </row>
    <row r="33" spans="1:11" ht="40.5" customHeight="1">
      <c r="A33" s="396"/>
      <c r="B33" s="971"/>
      <c r="C33" s="972"/>
      <c r="D33" s="658"/>
      <c r="E33" s="662"/>
      <c r="F33" s="663"/>
      <c r="G33" s="663"/>
      <c r="K33" s="490" t="str">
        <f>IF(AND(LEN(B33)&gt;0,LEN(D33)&gt;0,LEN(E33)&gt;0,LEN(F33)&gt;0),"","COMPILARE TUTTI I DATI DEL RESPONSABILE CONTRASSEGNATI CON L'ASTERISCO")</f>
        <v>COMPILARE TUTTI I DATI DEL RESPONSABILE CONTRASSEGNATI CON L'ASTERISCO</v>
      </c>
    </row>
    <row r="34" spans="1:7" ht="20.25" customHeight="1" hidden="1">
      <c r="A34" s="396"/>
      <c r="B34" s="973"/>
      <c r="C34" s="974"/>
      <c r="D34" s="856"/>
      <c r="E34" s="491"/>
      <c r="F34" s="857"/>
      <c r="G34" s="857"/>
    </row>
    <row r="35" spans="1:7" ht="18" customHeight="1">
      <c r="A35" s="396"/>
      <c r="B35" s="750"/>
      <c r="C35" s="750"/>
      <c r="D35" s="751"/>
      <c r="E35" s="751"/>
      <c r="F35" s="367"/>
      <c r="G35" s="367"/>
    </row>
    <row r="36" spans="1:8" ht="18" customHeight="1">
      <c r="A36" s="396"/>
      <c r="B36" s="966" t="s">
        <v>466</v>
      </c>
      <c r="C36" s="967"/>
      <c r="D36" s="967"/>
      <c r="E36" s="967"/>
      <c r="F36" s="967"/>
      <c r="G36" s="968"/>
      <c r="H36" s="351"/>
    </row>
    <row r="37" spans="1:7" ht="7.5" customHeight="1">
      <c r="A37" s="396"/>
      <c r="B37" s="743"/>
      <c r="C37" s="744"/>
      <c r="D37" s="744"/>
      <c r="E37" s="367"/>
      <c r="F37" s="744"/>
      <c r="G37" s="744"/>
    </row>
    <row r="38" spans="1:7" s="352" customFormat="1" ht="15.75" customHeight="1">
      <c r="A38" s="396"/>
      <c r="B38" s="745" t="s">
        <v>273</v>
      </c>
      <c r="C38" s="745"/>
      <c r="D38" s="745" t="s">
        <v>274</v>
      </c>
      <c r="E38" s="745" t="s">
        <v>286</v>
      </c>
      <c r="F38" s="385" t="s">
        <v>266</v>
      </c>
      <c r="G38" s="746" t="s">
        <v>277</v>
      </c>
    </row>
    <row r="39" spans="1:11" ht="23.25" customHeight="1">
      <c r="A39" s="396"/>
      <c r="B39" s="969"/>
      <c r="C39" s="970"/>
      <c r="D39" s="747"/>
      <c r="E39" s="748"/>
      <c r="F39" s="749"/>
      <c r="G39" s="749"/>
      <c r="K39" s="490"/>
    </row>
    <row r="40" spans="1:7" ht="18" customHeight="1">
      <c r="A40" s="396"/>
      <c r="B40" s="750"/>
      <c r="C40" s="750"/>
      <c r="D40" s="751"/>
      <c r="E40" s="751"/>
      <c r="F40" s="367"/>
      <c r="G40" s="367"/>
    </row>
    <row r="41" spans="1:7" ht="18" customHeight="1">
      <c r="A41" s="396"/>
      <c r="B41" s="966" t="s">
        <v>355</v>
      </c>
      <c r="C41" s="967"/>
      <c r="D41" s="967"/>
      <c r="E41" s="967"/>
      <c r="F41" s="967"/>
      <c r="G41" s="968"/>
    </row>
    <row r="42" spans="1:7" ht="6" customHeight="1">
      <c r="A42" s="396"/>
      <c r="B42" s="347"/>
      <c r="C42" s="347"/>
      <c r="D42" s="386"/>
      <c r="E42" s="386"/>
      <c r="F42" s="387"/>
      <c r="G42" s="387"/>
    </row>
    <row r="43" spans="1:9" ht="15" hidden="1">
      <c r="A43" s="396"/>
      <c r="B43" s="353"/>
      <c r="C43" s="347"/>
      <c r="F43" s="362"/>
      <c r="G43" s="362"/>
      <c r="H43" s="397" t="b">
        <v>0</v>
      </c>
      <c r="I43" s="397" t="b">
        <v>0</v>
      </c>
    </row>
    <row r="44" spans="1:11" ht="29.25" customHeight="1" hidden="1">
      <c r="A44" s="396">
        <v>1</v>
      </c>
      <c r="B44" s="980" t="s">
        <v>278</v>
      </c>
      <c r="C44" s="980"/>
      <c r="D44" s="980"/>
      <c r="E44" s="980"/>
      <c r="F44" s="598"/>
      <c r="G44" s="598"/>
      <c r="H44" s="476"/>
      <c r="I44" s="476"/>
      <c r="J44" s="492"/>
      <c r="K44" s="490"/>
    </row>
    <row r="45" spans="2:9" ht="8.25" customHeight="1" hidden="1">
      <c r="B45" s="353"/>
      <c r="C45" s="347"/>
      <c r="F45" s="652"/>
      <c r="G45" s="652"/>
      <c r="H45" s="397"/>
      <c r="I45" s="397"/>
    </row>
    <row r="46" spans="1:11" ht="29.25" customHeight="1" hidden="1">
      <c r="A46" s="396">
        <v>2</v>
      </c>
      <c r="B46" s="980" t="s">
        <v>278</v>
      </c>
      <c r="C46" s="980"/>
      <c r="D46" s="980"/>
      <c r="E46" s="980"/>
      <c r="F46" s="653"/>
      <c r="G46" s="653"/>
      <c r="H46" s="476"/>
      <c r="I46" s="476"/>
      <c r="J46" s="492"/>
      <c r="K46" s="490"/>
    </row>
    <row r="47" spans="1:9" ht="8.25" customHeight="1" hidden="1">
      <c r="A47" s="396"/>
      <c r="B47" s="353"/>
      <c r="C47" s="347"/>
      <c r="F47" s="652"/>
      <c r="G47" s="652"/>
      <c r="H47" s="397"/>
      <c r="I47" s="397"/>
    </row>
    <row r="48" spans="1:11" ht="29.25" customHeight="1" hidden="1">
      <c r="A48" s="396">
        <v>3</v>
      </c>
      <c r="B48" s="980" t="s">
        <v>278</v>
      </c>
      <c r="C48" s="980"/>
      <c r="D48" s="980"/>
      <c r="E48" s="980"/>
      <c r="F48" s="653"/>
      <c r="G48" s="653"/>
      <c r="H48" s="476"/>
      <c r="I48" s="476"/>
      <c r="J48" s="492"/>
      <c r="K48" s="490"/>
    </row>
    <row r="49" spans="1:9" ht="8.25" customHeight="1" hidden="1">
      <c r="A49" s="396"/>
      <c r="B49" s="654"/>
      <c r="C49" s="654"/>
      <c r="D49" s="654"/>
      <c r="E49" s="654"/>
      <c r="F49" s="652"/>
      <c r="G49" s="652"/>
      <c r="H49" s="397"/>
      <c r="I49" s="397"/>
    </row>
    <row r="50" spans="1:11" ht="29.25" customHeight="1" hidden="1">
      <c r="A50" s="396">
        <v>4</v>
      </c>
      <c r="B50" s="980" t="s">
        <v>278</v>
      </c>
      <c r="C50" s="980"/>
      <c r="D50" s="980"/>
      <c r="E50" s="980"/>
      <c r="F50" s="653"/>
      <c r="G50" s="653"/>
      <c r="H50" s="476"/>
      <c r="I50" s="476"/>
      <c r="J50" s="492"/>
      <c r="K50" s="490"/>
    </row>
    <row r="51" spans="1:9" ht="9.75" customHeight="1" hidden="1">
      <c r="A51" s="396"/>
      <c r="H51" s="476"/>
      <c r="I51" s="476"/>
    </row>
    <row r="52" spans="1:7" ht="15">
      <c r="A52" s="396"/>
      <c r="B52" s="367"/>
      <c r="C52" s="367"/>
      <c r="F52" s="387"/>
      <c r="G52" s="388"/>
    </row>
    <row r="53" spans="1:11" ht="27" customHeight="1">
      <c r="A53" s="396">
        <v>5</v>
      </c>
      <c r="B53" s="996" t="s">
        <v>278</v>
      </c>
      <c r="C53" s="996"/>
      <c r="D53" s="996"/>
      <c r="E53" s="996"/>
      <c r="F53" s="997"/>
      <c r="G53" s="692"/>
      <c r="K53" s="490"/>
    </row>
    <row r="54" spans="1:7" ht="4.5" customHeight="1">
      <c r="A54" s="396"/>
      <c r="B54" s="353"/>
      <c r="C54" s="353"/>
      <c r="D54" s="682"/>
      <c r="E54" s="682"/>
      <c r="F54" s="682"/>
      <c r="G54" s="390"/>
    </row>
    <row r="55" spans="1:7" ht="15">
      <c r="A55" s="396"/>
      <c r="B55" s="683"/>
      <c r="C55" s="683"/>
      <c r="D55" s="684"/>
      <c r="E55" s="685"/>
      <c r="F55" s="562"/>
      <c r="G55" s="388" t="s">
        <v>279</v>
      </c>
    </row>
    <row r="56" spans="1:11" ht="24" customHeight="1">
      <c r="A56" s="396">
        <v>6</v>
      </c>
      <c r="B56" s="996" t="s">
        <v>453</v>
      </c>
      <c r="C56" s="996"/>
      <c r="D56" s="996"/>
      <c r="E56" s="996"/>
      <c r="F56" s="997"/>
      <c r="G56" s="603">
        <v>0</v>
      </c>
      <c r="K56" s="490">
        <f>IF(G56="","INSERIRE CAMPO OBBLIGATORIO",IF(G56=" ","INSERIRE NUMERO VALIDO",IF(AND(G56&gt;0,G56&lt;999999999999,COCOCO!$I$24=0),"COMPILARE LA SI_COCOCO","")))</f>
      </c>
    </row>
    <row r="57" spans="1:7" ht="4.5" customHeight="1">
      <c r="A57" s="396"/>
      <c r="B57" s="353"/>
      <c r="C57" s="680"/>
      <c r="D57" s="684"/>
      <c r="E57" s="685"/>
      <c r="F57" s="562"/>
      <c r="G57" s="368"/>
    </row>
    <row r="58" spans="1:7" ht="15">
      <c r="A58" s="396"/>
      <c r="B58" s="683"/>
      <c r="C58" s="686"/>
      <c r="D58" s="687"/>
      <c r="E58" s="688"/>
      <c r="F58" s="689"/>
      <c r="G58" s="388" t="s">
        <v>279</v>
      </c>
    </row>
    <row r="59" spans="1:11" ht="24" customHeight="1">
      <c r="A59" s="396">
        <v>7</v>
      </c>
      <c r="B59" s="996" t="s">
        <v>454</v>
      </c>
      <c r="C59" s="996"/>
      <c r="D59" s="996"/>
      <c r="E59" s="996"/>
      <c r="F59" s="997"/>
      <c r="G59" s="603">
        <v>0</v>
      </c>
      <c r="K59" s="490">
        <f>IF(G59="","INSERIRE CAMPO OBBLIGATORIO",IF(G59=" ","INSERIRE NUMERO VALIDO",""))</f>
      </c>
    </row>
    <row r="60" spans="1:7" ht="4.5" customHeight="1">
      <c r="A60" s="396"/>
      <c r="B60" s="353"/>
      <c r="C60" s="680"/>
      <c r="D60" s="684"/>
      <c r="E60" s="685"/>
      <c r="F60" s="562"/>
      <c r="G60" s="368" t="s">
        <v>110</v>
      </c>
    </row>
    <row r="61" spans="1:7" ht="15">
      <c r="A61" s="396"/>
      <c r="B61" s="683"/>
      <c r="C61" s="686"/>
      <c r="D61" s="687"/>
      <c r="E61" s="688"/>
      <c r="F61" s="689"/>
      <c r="G61" s="388" t="s">
        <v>279</v>
      </c>
    </row>
    <row r="62" spans="1:11" ht="24" customHeight="1">
      <c r="A62" s="396">
        <v>8</v>
      </c>
      <c r="B62" s="996" t="s">
        <v>455</v>
      </c>
      <c r="C62" s="996"/>
      <c r="D62" s="996"/>
      <c r="E62" s="996"/>
      <c r="F62" s="997"/>
      <c r="G62" s="603">
        <v>0</v>
      </c>
      <c r="K62" s="490">
        <f>IF(G62="","INSERIRE CAMPO OBBLIGATORIO",IF(G62=" ","INSERIRE NUMERO VALIDO",""))</f>
      </c>
    </row>
    <row r="63" spans="1:7" ht="4.5" customHeight="1">
      <c r="A63" s="396"/>
      <c r="B63" s="353"/>
      <c r="C63" s="680"/>
      <c r="D63" s="684"/>
      <c r="E63" s="685"/>
      <c r="F63" s="562"/>
      <c r="G63" s="368" t="s">
        <v>110</v>
      </c>
    </row>
    <row r="64" spans="1:10" s="367" customFormat="1" ht="15" customHeight="1" hidden="1">
      <c r="A64" s="545"/>
      <c r="B64" s="353"/>
      <c r="C64" s="680"/>
      <c r="D64" s="684"/>
      <c r="E64" s="685"/>
      <c r="F64" s="562"/>
      <c r="G64"/>
      <c r="H64"/>
      <c r="I64" s="564"/>
      <c r="J64" s="564"/>
    </row>
    <row r="65" spans="1:10" s="367" customFormat="1" ht="15" customHeight="1" hidden="1">
      <c r="A65" s="545"/>
      <c r="B65" s="353"/>
      <c r="C65" s="680"/>
      <c r="D65" s="684"/>
      <c r="E65" s="685"/>
      <c r="F65" s="562"/>
      <c r="G65"/>
      <c r="H65"/>
      <c r="I65" s="541"/>
      <c r="J65" s="564"/>
    </row>
    <row r="66" spans="1:10" s="367" customFormat="1" ht="15" customHeight="1" hidden="1">
      <c r="A66" s="545"/>
      <c r="B66" s="353"/>
      <c r="C66" s="680"/>
      <c r="D66" s="684"/>
      <c r="E66" s="685"/>
      <c r="F66" s="562"/>
      <c r="G66"/>
      <c r="H66"/>
      <c r="I66" s="541"/>
      <c r="J66" s="564"/>
    </row>
    <row r="67" spans="1:10" s="367" customFormat="1" ht="15" customHeight="1" hidden="1">
      <c r="A67" s="545"/>
      <c r="B67" s="353"/>
      <c r="C67" s="680"/>
      <c r="D67" s="684"/>
      <c r="E67" s="685"/>
      <c r="F67" s="562"/>
      <c r="G67"/>
      <c r="H67"/>
      <c r="I67" s="541"/>
      <c r="J67" s="564"/>
    </row>
    <row r="68" spans="1:10" s="367" customFormat="1" ht="15" customHeight="1" hidden="1">
      <c r="A68" s="545"/>
      <c r="B68" s="353"/>
      <c r="C68" s="680"/>
      <c r="D68" s="684"/>
      <c r="E68" s="685"/>
      <c r="F68" s="562"/>
      <c r="G68"/>
      <c r="H68"/>
      <c r="I68" s="541"/>
      <c r="J68" s="564"/>
    </row>
    <row r="69" spans="1:10" s="367" customFormat="1" ht="15" customHeight="1" hidden="1">
      <c r="A69" s="545"/>
      <c r="B69" s="353"/>
      <c r="C69" s="680"/>
      <c r="D69" s="684"/>
      <c r="E69" s="685"/>
      <c r="F69" s="562"/>
      <c r="G69"/>
      <c r="H69"/>
      <c r="I69" s="541"/>
      <c r="J69" s="564"/>
    </row>
    <row r="70" spans="1:7" ht="9.75" customHeight="1" hidden="1">
      <c r="A70" s="396"/>
      <c r="B70" s="353"/>
      <c r="C70" s="680"/>
      <c r="D70" s="684"/>
      <c r="E70" s="685"/>
      <c r="F70" s="562"/>
      <c r="G70" s="595"/>
    </row>
    <row r="71" spans="1:7" ht="9.75" customHeight="1" hidden="1">
      <c r="A71" s="396"/>
      <c r="B71" s="353"/>
      <c r="C71" s="680"/>
      <c r="D71" s="684"/>
      <c r="E71" s="685"/>
      <c r="F71" s="562"/>
      <c r="G71" s="595"/>
    </row>
    <row r="72" spans="1:7" ht="9.75" customHeight="1" hidden="1">
      <c r="A72" s="396"/>
      <c r="B72" s="353"/>
      <c r="C72" s="680"/>
      <c r="D72" s="684"/>
      <c r="E72" s="685"/>
      <c r="F72" s="562"/>
      <c r="G72" s="595"/>
    </row>
    <row r="73" spans="1:7" ht="9.75" customHeight="1" hidden="1">
      <c r="A73" s="396"/>
      <c r="B73" s="353"/>
      <c r="C73" s="680"/>
      <c r="D73" s="684"/>
      <c r="E73" s="685"/>
      <c r="F73" s="562"/>
      <c r="G73" s="595"/>
    </row>
    <row r="74" spans="1:7" ht="9.75" customHeight="1" hidden="1">
      <c r="A74" s="396"/>
      <c r="B74" s="353"/>
      <c r="C74" s="680"/>
      <c r="D74" s="684"/>
      <c r="E74" s="685"/>
      <c r="F74" s="562"/>
      <c r="G74" s="595"/>
    </row>
    <row r="75" spans="1:7" ht="9.75" customHeight="1" hidden="1">
      <c r="A75" s="396"/>
      <c r="B75" s="353"/>
      <c r="C75" s="680"/>
      <c r="D75" s="684"/>
      <c r="E75" s="685"/>
      <c r="F75" s="562"/>
      <c r="G75" s="595"/>
    </row>
    <row r="76" spans="1:7" ht="9.75" customHeight="1" hidden="1">
      <c r="A76" s="396"/>
      <c r="B76" s="353"/>
      <c r="C76" s="680"/>
      <c r="D76" s="684"/>
      <c r="E76" s="685"/>
      <c r="F76" s="562"/>
      <c r="G76" s="595"/>
    </row>
    <row r="77" spans="1:7" ht="9.75" customHeight="1" hidden="1">
      <c r="A77" s="396"/>
      <c r="B77" s="353"/>
      <c r="C77" s="680"/>
      <c r="D77" s="684"/>
      <c r="E77" s="685"/>
      <c r="F77" s="562"/>
      <c r="G77" s="595"/>
    </row>
    <row r="78" spans="1:7" ht="9.75" customHeight="1" hidden="1">
      <c r="A78" s="396"/>
      <c r="B78" s="353"/>
      <c r="C78" s="680"/>
      <c r="D78" s="684"/>
      <c r="E78" s="685"/>
      <c r="F78" s="562"/>
      <c r="G78" s="595"/>
    </row>
    <row r="79" spans="1:11" ht="9.75" customHeight="1" hidden="1">
      <c r="A79" s="396"/>
      <c r="B79" s="353"/>
      <c r="C79" s="680"/>
      <c r="D79" s="684"/>
      <c r="E79" s="685"/>
      <c r="F79" s="562"/>
      <c r="G79" s="556"/>
      <c r="K79" s="490"/>
    </row>
    <row r="80" spans="1:7" ht="17.25" customHeight="1" hidden="1">
      <c r="A80" s="396"/>
      <c r="B80" s="353"/>
      <c r="C80" s="680"/>
      <c r="D80" s="684"/>
      <c r="E80" s="685"/>
      <c r="F80" s="562"/>
      <c r="G80" s="368"/>
    </row>
    <row r="81" spans="1:7" ht="15">
      <c r="A81" s="396"/>
      <c r="B81" s="683"/>
      <c r="C81" s="686"/>
      <c r="D81" s="687"/>
      <c r="E81" s="688"/>
      <c r="F81" s="689"/>
      <c r="G81" s="388" t="s">
        <v>335</v>
      </c>
    </row>
    <row r="82" spans="1:11" ht="27" customHeight="1">
      <c r="A82" s="396">
        <v>9</v>
      </c>
      <c r="B82" s="996" t="s">
        <v>456</v>
      </c>
      <c r="C82" s="996"/>
      <c r="D82" s="996"/>
      <c r="E82" s="996"/>
      <c r="F82" s="997"/>
      <c r="G82" s="603"/>
      <c r="K82" s="490"/>
    </row>
    <row r="83" spans="1:11" ht="5.25" customHeight="1">
      <c r="A83" s="396"/>
      <c r="B83" s="486"/>
      <c r="C83" s="486"/>
      <c r="D83" s="486"/>
      <c r="E83" s="486"/>
      <c r="F83" s="493"/>
      <c r="G83" s="368"/>
      <c r="K83" s="490"/>
    </row>
    <row r="84" spans="1:7" ht="15">
      <c r="A84" s="396"/>
      <c r="B84" s="367"/>
      <c r="C84" s="367"/>
      <c r="F84" s="387"/>
      <c r="G84" s="388"/>
    </row>
    <row r="85" spans="1:11" ht="27" customHeight="1">
      <c r="A85" s="396">
        <v>10</v>
      </c>
      <c r="B85" s="996" t="s">
        <v>278</v>
      </c>
      <c r="C85" s="996"/>
      <c r="D85" s="996"/>
      <c r="E85" s="996"/>
      <c r="F85" s="997"/>
      <c r="G85" s="692"/>
      <c r="K85" s="490"/>
    </row>
    <row r="86" spans="1:11" ht="5.25" customHeight="1" hidden="1">
      <c r="A86" s="396"/>
      <c r="B86" s="654"/>
      <c r="C86" s="654"/>
      <c r="D86" s="654"/>
      <c r="E86" s="654"/>
      <c r="F86" s="723"/>
      <c r="G86" s="368"/>
      <c r="K86" s="490"/>
    </row>
    <row r="87" spans="1:7" ht="15" hidden="1">
      <c r="A87" s="396"/>
      <c r="B87" s="683"/>
      <c r="C87" s="686"/>
      <c r="D87" s="687"/>
      <c r="E87" s="688"/>
      <c r="F87" s="689"/>
      <c r="G87" s="388"/>
    </row>
    <row r="88" spans="1:11" ht="27" customHeight="1" hidden="1">
      <c r="A88" s="396">
        <v>11</v>
      </c>
      <c r="B88" s="996" t="s">
        <v>278</v>
      </c>
      <c r="C88" s="996"/>
      <c r="D88" s="996"/>
      <c r="E88" s="996"/>
      <c r="F88" s="997"/>
      <c r="G88" s="692"/>
      <c r="K88" s="490"/>
    </row>
    <row r="89" spans="1:11" ht="5.25" customHeight="1" hidden="1">
      <c r="A89" s="396"/>
      <c r="B89" s="486"/>
      <c r="C89" s="486"/>
      <c r="D89" s="486"/>
      <c r="E89" s="486"/>
      <c r="F89" s="493"/>
      <c r="G89" s="368"/>
      <c r="K89" s="490"/>
    </row>
    <row r="90" spans="1:7" ht="15" hidden="1">
      <c r="A90" s="681"/>
      <c r="B90" s="683"/>
      <c r="C90" s="686"/>
      <c r="D90" s="687"/>
      <c r="E90" s="688"/>
      <c r="F90" s="689"/>
      <c r="G90" s="388"/>
    </row>
    <row r="91" spans="1:11" ht="27" customHeight="1" hidden="1">
      <c r="A91" s="396">
        <v>12</v>
      </c>
      <c r="B91" s="996" t="s">
        <v>278</v>
      </c>
      <c r="C91" s="996"/>
      <c r="D91" s="996"/>
      <c r="E91" s="996"/>
      <c r="F91" s="997"/>
      <c r="G91" s="692"/>
      <c r="K91" s="490"/>
    </row>
    <row r="92" spans="1:11" ht="4.5" customHeight="1" hidden="1">
      <c r="A92" s="396"/>
      <c r="B92" s="486"/>
      <c r="C92" s="486"/>
      <c r="D92" s="486"/>
      <c r="E92" s="486"/>
      <c r="F92" s="493"/>
      <c r="G92" s="493"/>
      <c r="K92" s="490"/>
    </row>
    <row r="93" spans="1:7" ht="15" hidden="1">
      <c r="A93" s="396"/>
      <c r="B93" s="683"/>
      <c r="C93" s="686"/>
      <c r="D93" s="687"/>
      <c r="E93" s="688"/>
      <c r="F93" s="689"/>
      <c r="G93" s="388"/>
    </row>
    <row r="94" spans="1:11" ht="27" customHeight="1" hidden="1">
      <c r="A94" s="396">
        <v>13</v>
      </c>
      <c r="B94" s="996" t="s">
        <v>278</v>
      </c>
      <c r="C94" s="996"/>
      <c r="D94" s="996"/>
      <c r="E94" s="996"/>
      <c r="F94" s="997"/>
      <c r="G94" s="692"/>
      <c r="K94" s="490"/>
    </row>
    <row r="95" spans="1:11" ht="4.5" customHeight="1" hidden="1">
      <c r="A95" s="396"/>
      <c r="B95" s="486"/>
      <c r="C95" s="486"/>
      <c r="D95" s="486"/>
      <c r="E95" s="486"/>
      <c r="F95" s="493"/>
      <c r="G95" s="493"/>
      <c r="K95" s="490"/>
    </row>
    <row r="96" spans="1:7" ht="15" hidden="1">
      <c r="A96" s="396"/>
      <c r="B96" s="683"/>
      <c r="C96" s="686"/>
      <c r="D96" s="687"/>
      <c r="E96" s="688"/>
      <c r="F96" s="689"/>
      <c r="G96" s="388"/>
    </row>
    <row r="97" spans="1:11" ht="27" customHeight="1" hidden="1">
      <c r="A97" s="396">
        <v>30</v>
      </c>
      <c r="B97" s="996" t="s">
        <v>278</v>
      </c>
      <c r="C97" s="996"/>
      <c r="D97" s="996"/>
      <c r="E97" s="996"/>
      <c r="F97" s="997"/>
      <c r="G97" s="692"/>
      <c r="K97" s="490"/>
    </row>
    <row r="98" spans="1:11" ht="4.5" customHeight="1">
      <c r="A98" s="396"/>
      <c r="B98" s="486"/>
      <c r="C98" s="486"/>
      <c r="D98" s="486"/>
      <c r="E98" s="486"/>
      <c r="F98" s="493"/>
      <c r="G98" s="493"/>
      <c r="K98" s="490"/>
    </row>
    <row r="99" spans="1:7" ht="15">
      <c r="A99" s="396"/>
      <c r="B99" s="683"/>
      <c r="C99" s="686"/>
      <c r="D99" s="687"/>
      <c r="E99" s="688"/>
      <c r="F99" s="689"/>
      <c r="G99" s="388" t="s">
        <v>280</v>
      </c>
    </row>
    <row r="100" spans="1:11" ht="27" customHeight="1">
      <c r="A100" s="396">
        <v>31</v>
      </c>
      <c r="B100" s="996" t="s">
        <v>457</v>
      </c>
      <c r="C100" s="996"/>
      <c r="D100" s="996"/>
      <c r="E100" s="996"/>
      <c r="F100" s="997"/>
      <c r="G100" s="603"/>
      <c r="K100" s="490"/>
    </row>
    <row r="101" spans="1:11" ht="4.5" customHeight="1">
      <c r="A101" s="396"/>
      <c r="B101" s="486"/>
      <c r="C101" s="486"/>
      <c r="D101" s="486"/>
      <c r="E101" s="486"/>
      <c r="F101" s="493"/>
      <c r="G101" s="493"/>
      <c r="K101" s="490"/>
    </row>
    <row r="102" spans="1:7" ht="15">
      <c r="A102" s="396"/>
      <c r="B102" s="683"/>
      <c r="C102" s="686"/>
      <c r="D102" s="687"/>
      <c r="E102" s="688"/>
      <c r="F102" s="689"/>
      <c r="G102" s="388" t="s">
        <v>280</v>
      </c>
    </row>
    <row r="103" spans="1:11" ht="27" customHeight="1">
      <c r="A103" s="396">
        <v>32</v>
      </c>
      <c r="B103" s="996" t="s">
        <v>532</v>
      </c>
      <c r="C103" s="996"/>
      <c r="D103" s="996"/>
      <c r="E103" s="996"/>
      <c r="F103" s="997"/>
      <c r="G103" s="603"/>
      <c r="K103" s="490"/>
    </row>
    <row r="104" spans="1:11" ht="4.5" customHeight="1">
      <c r="A104" s="396"/>
      <c r="B104" s="486"/>
      <c r="C104" s="486"/>
      <c r="D104" s="486"/>
      <c r="E104" s="486"/>
      <c r="F104" s="493"/>
      <c r="G104" s="493"/>
      <c r="K104" s="490"/>
    </row>
    <row r="105" spans="1:7" ht="15">
      <c r="A105" s="396"/>
      <c r="B105" s="683"/>
      <c r="C105" s="686"/>
      <c r="D105" s="687"/>
      <c r="E105" s="688"/>
      <c r="F105" s="689"/>
      <c r="G105" s="388" t="s">
        <v>280</v>
      </c>
    </row>
    <row r="106" spans="1:11" ht="27" customHeight="1">
      <c r="A106" s="396">
        <v>33</v>
      </c>
      <c r="B106" s="996" t="s">
        <v>458</v>
      </c>
      <c r="C106" s="996"/>
      <c r="D106" s="996"/>
      <c r="E106" s="996"/>
      <c r="F106" s="997"/>
      <c r="G106" s="603"/>
      <c r="K106" s="490"/>
    </row>
    <row r="107" spans="1:11" ht="4.5" customHeight="1">
      <c r="A107" s="396"/>
      <c r="B107" s="486"/>
      <c r="C107" s="486"/>
      <c r="D107" s="486"/>
      <c r="E107" s="486"/>
      <c r="F107" s="493"/>
      <c r="G107" s="493"/>
      <c r="K107" s="490"/>
    </row>
    <row r="108" spans="1:7" ht="15">
      <c r="A108" s="396"/>
      <c r="B108" s="683"/>
      <c r="C108" s="686"/>
      <c r="D108" s="687"/>
      <c r="E108" s="688"/>
      <c r="F108" s="689"/>
      <c r="G108" s="388" t="s">
        <v>280</v>
      </c>
    </row>
    <row r="109" spans="1:11" ht="27" customHeight="1">
      <c r="A109" s="396">
        <v>34</v>
      </c>
      <c r="B109" s="996" t="s">
        <v>459</v>
      </c>
      <c r="C109" s="996"/>
      <c r="D109" s="996"/>
      <c r="E109" s="996"/>
      <c r="F109" s="997"/>
      <c r="G109" s="603"/>
      <c r="K109" s="490"/>
    </row>
    <row r="110" spans="1:11" ht="4.5" customHeight="1">
      <c r="A110" s="396"/>
      <c r="B110" s="486"/>
      <c r="C110" s="486"/>
      <c r="D110" s="486"/>
      <c r="E110" s="486"/>
      <c r="F110" s="493"/>
      <c r="G110" s="493"/>
      <c r="K110" s="490"/>
    </row>
    <row r="111" spans="1:7" ht="15" hidden="1">
      <c r="A111" s="396"/>
      <c r="B111" s="683"/>
      <c r="C111" s="686"/>
      <c r="D111" s="687"/>
      <c r="E111" s="688"/>
      <c r="F111" s="689"/>
      <c r="G111" s="388"/>
    </row>
    <row r="112" spans="1:11" ht="27" customHeight="1" hidden="1">
      <c r="A112" s="396">
        <v>35</v>
      </c>
      <c r="B112" s="996" t="s">
        <v>278</v>
      </c>
      <c r="C112" s="996"/>
      <c r="D112" s="996"/>
      <c r="E112" s="996"/>
      <c r="F112" s="997"/>
      <c r="G112" s="692"/>
      <c r="K112" s="490"/>
    </row>
    <row r="113" spans="1:11" ht="4.5" customHeight="1" hidden="1">
      <c r="A113" s="396"/>
      <c r="B113" s="486"/>
      <c r="C113" s="486"/>
      <c r="D113" s="486"/>
      <c r="E113" s="486"/>
      <c r="F113" s="493"/>
      <c r="G113" s="493"/>
      <c r="K113" s="490"/>
    </row>
    <row r="114" spans="1:7" ht="15" hidden="1">
      <c r="A114" s="396"/>
      <c r="B114" s="683"/>
      <c r="C114" s="686"/>
      <c r="D114" s="687"/>
      <c r="E114" s="688"/>
      <c r="F114" s="689"/>
      <c r="G114" s="388"/>
    </row>
    <row r="115" spans="1:11" ht="27" customHeight="1" hidden="1">
      <c r="A115" s="396">
        <v>36</v>
      </c>
      <c r="B115" s="996" t="s">
        <v>278</v>
      </c>
      <c r="C115" s="996"/>
      <c r="D115" s="996"/>
      <c r="E115" s="996"/>
      <c r="F115" s="997"/>
      <c r="G115" s="692"/>
      <c r="K115" s="490"/>
    </row>
    <row r="116" spans="1:11" ht="4.5" customHeight="1" hidden="1">
      <c r="A116" s="396"/>
      <c r="B116" s="486"/>
      <c r="C116" s="486"/>
      <c r="D116" s="486"/>
      <c r="E116" s="486"/>
      <c r="F116" s="493"/>
      <c r="G116" s="493"/>
      <c r="K116" s="490"/>
    </row>
    <row r="117" spans="1:7" ht="15" hidden="1">
      <c r="A117" s="396"/>
      <c r="B117" s="683"/>
      <c r="C117" s="686"/>
      <c r="D117" s="687"/>
      <c r="E117" s="688"/>
      <c r="F117" s="689"/>
      <c r="G117" s="388"/>
    </row>
    <row r="118" spans="1:11" ht="27" customHeight="1" hidden="1">
      <c r="A118" s="396">
        <v>37</v>
      </c>
      <c r="B118" s="996" t="s">
        <v>278</v>
      </c>
      <c r="C118" s="996"/>
      <c r="D118" s="996"/>
      <c r="E118" s="996"/>
      <c r="F118" s="997"/>
      <c r="G118" s="692"/>
      <c r="K118" s="490"/>
    </row>
    <row r="119" spans="1:11" ht="4.5" customHeight="1" hidden="1">
      <c r="A119" s="396"/>
      <c r="B119" s="486"/>
      <c r="C119" s="486"/>
      <c r="D119" s="486"/>
      <c r="E119" s="486"/>
      <c r="F119" s="493"/>
      <c r="G119" s="493"/>
      <c r="K119" s="490"/>
    </row>
    <row r="120" spans="1:7" ht="15" hidden="1">
      <c r="A120" s="396"/>
      <c r="B120" s="683"/>
      <c r="C120" s="686"/>
      <c r="D120" s="687"/>
      <c r="E120" s="688"/>
      <c r="F120" s="689"/>
      <c r="G120" s="388"/>
    </row>
    <row r="121" spans="1:11" ht="27" customHeight="1" hidden="1">
      <c r="A121" s="396">
        <v>38</v>
      </c>
      <c r="B121" s="996" t="s">
        <v>278</v>
      </c>
      <c r="C121" s="996"/>
      <c r="D121" s="996"/>
      <c r="E121" s="996"/>
      <c r="F121" s="997"/>
      <c r="G121" s="692"/>
      <c r="K121" s="490"/>
    </row>
    <row r="122" spans="1:11" ht="4.5" customHeight="1" hidden="1">
      <c r="A122" s="396"/>
      <c r="B122" s="486"/>
      <c r="C122" s="486"/>
      <c r="D122" s="486"/>
      <c r="E122" s="486"/>
      <c r="F122" s="493"/>
      <c r="G122" s="493"/>
      <c r="K122" s="490"/>
    </row>
    <row r="123" spans="1:7" ht="15" hidden="1">
      <c r="A123" s="396"/>
      <c r="B123" s="683"/>
      <c r="C123" s="686"/>
      <c r="D123" s="687"/>
      <c r="E123" s="688"/>
      <c r="F123" s="689"/>
      <c r="G123" s="388"/>
    </row>
    <row r="124" spans="1:11" ht="27" customHeight="1" hidden="1">
      <c r="A124" s="396">
        <v>39</v>
      </c>
      <c r="B124" s="996" t="s">
        <v>278</v>
      </c>
      <c r="C124" s="996"/>
      <c r="D124" s="996"/>
      <c r="E124" s="996"/>
      <c r="F124" s="997"/>
      <c r="G124" s="692"/>
      <c r="K124" s="490"/>
    </row>
    <row r="125" spans="1:11" ht="4.5" customHeight="1" hidden="1">
      <c r="A125" s="396"/>
      <c r="B125" s="486"/>
      <c r="C125" s="486"/>
      <c r="D125" s="486"/>
      <c r="E125" s="486"/>
      <c r="F125" s="493"/>
      <c r="G125" s="493"/>
      <c r="K125" s="490"/>
    </row>
    <row r="126" spans="1:7" ht="15" hidden="1">
      <c r="A126" s="396"/>
      <c r="B126" s="683"/>
      <c r="C126" s="686"/>
      <c r="D126" s="687"/>
      <c r="E126" s="688"/>
      <c r="F126" s="689"/>
      <c r="G126" s="388"/>
    </row>
    <row r="127" spans="1:11" ht="27" customHeight="1" hidden="1">
      <c r="A127" s="396">
        <v>40</v>
      </c>
      <c r="B127" s="996" t="s">
        <v>278</v>
      </c>
      <c r="C127" s="996"/>
      <c r="D127" s="996"/>
      <c r="E127" s="996"/>
      <c r="F127" s="997"/>
      <c r="G127" s="692"/>
      <c r="K127" s="490"/>
    </row>
    <row r="128" spans="1:11" ht="4.5" customHeight="1" hidden="1">
      <c r="A128" s="396"/>
      <c r="B128" s="486"/>
      <c r="C128" s="486"/>
      <c r="D128" s="486"/>
      <c r="E128" s="486"/>
      <c r="F128" s="493"/>
      <c r="G128" s="493"/>
      <c r="K128" s="490"/>
    </row>
    <row r="129" spans="1:7" ht="15" hidden="1">
      <c r="A129" s="396"/>
      <c r="B129" s="683"/>
      <c r="C129" s="686"/>
      <c r="D129" s="687"/>
      <c r="E129" s="688"/>
      <c r="F129" s="689"/>
      <c r="G129" s="388"/>
    </row>
    <row r="130" spans="1:11" ht="27" customHeight="1" hidden="1">
      <c r="A130" s="396">
        <v>41</v>
      </c>
      <c r="B130" s="996" t="s">
        <v>278</v>
      </c>
      <c r="C130" s="996"/>
      <c r="D130" s="996"/>
      <c r="E130" s="996"/>
      <c r="F130" s="997"/>
      <c r="G130" s="692"/>
      <c r="K130" s="490"/>
    </row>
    <row r="131" spans="1:11" ht="4.5" customHeight="1" hidden="1">
      <c r="A131" s="396"/>
      <c r="B131" s="486"/>
      <c r="C131" s="486"/>
      <c r="D131" s="486"/>
      <c r="E131" s="486"/>
      <c r="F131" s="493"/>
      <c r="G131" s="493"/>
      <c r="K131" s="490"/>
    </row>
    <row r="132" spans="1:7" ht="15" hidden="1">
      <c r="A132" s="396"/>
      <c r="B132" s="683"/>
      <c r="C132" s="686"/>
      <c r="D132" s="687"/>
      <c r="E132" s="688"/>
      <c r="F132" s="689"/>
      <c r="G132" s="388"/>
    </row>
    <row r="133" spans="1:11" ht="27" customHeight="1" hidden="1">
      <c r="A133" s="396">
        <v>42</v>
      </c>
      <c r="B133" s="996" t="s">
        <v>278</v>
      </c>
      <c r="C133" s="996"/>
      <c r="D133" s="996"/>
      <c r="E133" s="996"/>
      <c r="F133" s="997"/>
      <c r="G133" s="692"/>
      <c r="K133" s="490"/>
    </row>
    <row r="134" spans="1:11" ht="4.5" customHeight="1" hidden="1">
      <c r="A134" s="396"/>
      <c r="B134" s="486"/>
      <c r="C134" s="486"/>
      <c r="D134" s="486"/>
      <c r="E134" s="486"/>
      <c r="F134" s="493"/>
      <c r="G134" s="493"/>
      <c r="K134" s="490"/>
    </row>
    <row r="135" spans="1:7" ht="15" hidden="1">
      <c r="A135" s="396"/>
      <c r="B135" s="683"/>
      <c r="C135" s="686"/>
      <c r="D135" s="687"/>
      <c r="E135" s="688"/>
      <c r="F135" s="689"/>
      <c r="G135" s="388"/>
    </row>
    <row r="136" spans="1:11" ht="27" customHeight="1" hidden="1">
      <c r="A136" s="396">
        <v>43</v>
      </c>
      <c r="B136" s="996" t="s">
        <v>278</v>
      </c>
      <c r="C136" s="996"/>
      <c r="D136" s="996"/>
      <c r="E136" s="996"/>
      <c r="F136" s="997"/>
      <c r="G136" s="692"/>
      <c r="K136" s="490"/>
    </row>
    <row r="137" spans="1:11" ht="4.5" customHeight="1" hidden="1">
      <c r="A137" s="396"/>
      <c r="B137" s="486"/>
      <c r="C137" s="486"/>
      <c r="D137" s="486"/>
      <c r="E137" s="486"/>
      <c r="F137" s="493"/>
      <c r="G137" s="493"/>
      <c r="K137" s="490"/>
    </row>
    <row r="138" spans="1:7" ht="15" hidden="1">
      <c r="A138" s="396"/>
      <c r="B138" s="683"/>
      <c r="C138" s="686"/>
      <c r="D138" s="687"/>
      <c r="E138" s="688"/>
      <c r="F138" s="689"/>
      <c r="G138" s="388"/>
    </row>
    <row r="139" spans="1:11" ht="27" customHeight="1" hidden="1">
      <c r="A139" s="396">
        <v>44</v>
      </c>
      <c r="B139" s="996" t="s">
        <v>278</v>
      </c>
      <c r="C139" s="996"/>
      <c r="D139" s="996"/>
      <c r="E139" s="996"/>
      <c r="F139" s="997"/>
      <c r="G139" s="692"/>
      <c r="K139" s="490"/>
    </row>
    <row r="140" spans="1:11" ht="4.5" customHeight="1" hidden="1">
      <c r="A140" s="396"/>
      <c r="B140" s="486"/>
      <c r="C140" s="486"/>
      <c r="D140" s="486"/>
      <c r="E140" s="486"/>
      <c r="F140" s="493"/>
      <c r="G140" s="493"/>
      <c r="K140" s="490"/>
    </row>
    <row r="141" spans="1:7" ht="15" hidden="1">
      <c r="A141" s="396"/>
      <c r="B141" s="683"/>
      <c r="C141" s="686"/>
      <c r="D141" s="687"/>
      <c r="E141" s="688"/>
      <c r="F141" s="689"/>
      <c r="G141" s="388"/>
    </row>
    <row r="142" spans="1:11" ht="27" customHeight="1" hidden="1">
      <c r="A142" s="396">
        <v>45</v>
      </c>
      <c r="B142" s="996" t="s">
        <v>278</v>
      </c>
      <c r="C142" s="996"/>
      <c r="D142" s="996"/>
      <c r="E142" s="996"/>
      <c r="F142" s="997"/>
      <c r="G142" s="692"/>
      <c r="K142" s="490"/>
    </row>
    <row r="143" spans="1:11" ht="4.5" customHeight="1" hidden="1">
      <c r="A143" s="396"/>
      <c r="B143" s="486"/>
      <c r="C143" s="486"/>
      <c r="D143" s="486"/>
      <c r="E143" s="486"/>
      <c r="F143" s="493"/>
      <c r="G143" s="493"/>
      <c r="K143" s="490"/>
    </row>
    <row r="144" spans="1:7" ht="15" hidden="1">
      <c r="A144" s="396"/>
      <c r="B144" s="683"/>
      <c r="C144" s="686"/>
      <c r="D144" s="687"/>
      <c r="E144" s="688"/>
      <c r="F144" s="689"/>
      <c r="G144" s="388"/>
    </row>
    <row r="145" spans="1:11" ht="27" customHeight="1" hidden="1">
      <c r="A145" s="396">
        <v>46</v>
      </c>
      <c r="B145" s="996" t="s">
        <v>278</v>
      </c>
      <c r="C145" s="996"/>
      <c r="D145" s="996"/>
      <c r="E145" s="996"/>
      <c r="F145" s="997"/>
      <c r="G145" s="692"/>
      <c r="K145" s="490"/>
    </row>
    <row r="146" spans="1:11" ht="3.75" customHeight="1" hidden="1">
      <c r="A146" s="396"/>
      <c r="B146" s="486"/>
      <c r="C146" s="486"/>
      <c r="D146" s="486"/>
      <c r="E146" s="486"/>
      <c r="F146" s="493"/>
      <c r="G146" s="953"/>
      <c r="K146" s="490"/>
    </row>
    <row r="147" spans="1:11" s="367" customFormat="1" ht="15" customHeight="1" hidden="1">
      <c r="A147" s="396"/>
      <c r="B147" s="486"/>
      <c r="C147" s="486"/>
      <c r="D147" s="486"/>
      <c r="E147" s="486"/>
      <c r="F147" s="493"/>
      <c r="G147" s="954"/>
      <c r="K147" s="955"/>
    </row>
    <row r="148" spans="1:11" s="367" customFormat="1" ht="27" customHeight="1" hidden="1">
      <c r="A148" s="396">
        <v>47</v>
      </c>
      <c r="B148" s="996" t="s">
        <v>278</v>
      </c>
      <c r="C148" s="996"/>
      <c r="D148" s="996"/>
      <c r="E148" s="996"/>
      <c r="F148" s="997"/>
      <c r="G148" s="692"/>
      <c r="K148" s="955"/>
    </row>
    <row r="149" spans="1:11" s="367" customFormat="1" ht="3.75" customHeight="1" hidden="1">
      <c r="A149" s="396"/>
      <c r="C149" s="486"/>
      <c r="D149" s="486"/>
      <c r="E149" s="486"/>
      <c r="F149" s="493"/>
      <c r="G149" s="493"/>
      <c r="K149" s="955"/>
    </row>
    <row r="150" spans="1:11" s="367" customFormat="1" ht="15" customHeight="1" hidden="1">
      <c r="A150" s="396"/>
      <c r="B150" s="486"/>
      <c r="C150" s="486"/>
      <c r="D150" s="486"/>
      <c r="E150" s="486"/>
      <c r="F150" s="493"/>
      <c r="G150" s="954"/>
      <c r="K150" s="955"/>
    </row>
    <row r="151" spans="1:11" s="367" customFormat="1" ht="27" customHeight="1" hidden="1">
      <c r="A151" s="396">
        <v>48</v>
      </c>
      <c r="B151" s="996" t="s">
        <v>278</v>
      </c>
      <c r="C151" s="996"/>
      <c r="D151" s="996"/>
      <c r="E151" s="996"/>
      <c r="F151" s="997"/>
      <c r="G151" s="692"/>
      <c r="K151" s="955"/>
    </row>
    <row r="152" spans="1:11" s="367" customFormat="1" ht="3" customHeight="1" hidden="1">
      <c r="A152" s="396"/>
      <c r="B152" s="486"/>
      <c r="C152" s="486"/>
      <c r="D152" s="486"/>
      <c r="E152" s="486"/>
      <c r="F152" s="493"/>
      <c r="G152" s="953"/>
      <c r="K152" s="955"/>
    </row>
    <row r="153" spans="1:11" s="367" customFormat="1" ht="15" customHeight="1" hidden="1">
      <c r="A153" s="396"/>
      <c r="B153" s="486"/>
      <c r="C153" s="486"/>
      <c r="D153" s="486"/>
      <c r="E153" s="486"/>
      <c r="F153" s="493"/>
      <c r="G153" s="954"/>
      <c r="K153" s="955"/>
    </row>
    <row r="154" spans="1:11" s="367" customFormat="1" ht="27" customHeight="1" hidden="1">
      <c r="A154" s="396">
        <v>49</v>
      </c>
      <c r="B154" s="996" t="s">
        <v>278</v>
      </c>
      <c r="C154" s="996"/>
      <c r="D154" s="996"/>
      <c r="E154" s="996"/>
      <c r="F154" s="997"/>
      <c r="G154" s="692"/>
      <c r="K154" s="955"/>
    </row>
    <row r="155" spans="1:11" ht="4.5" customHeight="1" hidden="1">
      <c r="A155" s="396"/>
      <c r="B155" s="486"/>
      <c r="C155" s="486"/>
      <c r="D155" s="486"/>
      <c r="E155" s="486"/>
      <c r="F155" s="493"/>
      <c r="G155" s="493"/>
      <c r="K155" s="490"/>
    </row>
    <row r="156" spans="1:7" ht="15" hidden="1">
      <c r="A156" s="396"/>
      <c r="B156" s="683"/>
      <c r="C156" s="686"/>
      <c r="D156" s="687"/>
      <c r="E156" s="688"/>
      <c r="F156" s="689"/>
      <c r="G156" s="954"/>
    </row>
    <row r="157" spans="1:11" ht="27" customHeight="1" hidden="1">
      <c r="A157" s="396">
        <v>50</v>
      </c>
      <c r="B157" s="996" t="s">
        <v>278</v>
      </c>
      <c r="C157" s="996"/>
      <c r="D157" s="996"/>
      <c r="E157" s="996"/>
      <c r="F157" s="997"/>
      <c r="G157" s="692"/>
      <c r="K157" s="490"/>
    </row>
    <row r="158" spans="1:11" ht="4.5" customHeight="1" hidden="1">
      <c r="A158" s="396"/>
      <c r="B158" s="486"/>
      <c r="C158" s="486"/>
      <c r="D158" s="486"/>
      <c r="E158" s="486"/>
      <c r="F158" s="493"/>
      <c r="G158" s="493"/>
      <c r="K158" s="490"/>
    </row>
    <row r="159" spans="1:7" ht="15" hidden="1">
      <c r="A159" s="396"/>
      <c r="B159" s="683"/>
      <c r="C159" s="686"/>
      <c r="D159" s="687"/>
      <c r="E159" s="688"/>
      <c r="F159" s="689"/>
      <c r="G159" s="954"/>
    </row>
    <row r="160" spans="1:11" ht="27" customHeight="1" hidden="1">
      <c r="A160" s="396">
        <v>51</v>
      </c>
      <c r="B160" s="996" t="s">
        <v>278</v>
      </c>
      <c r="C160" s="996"/>
      <c r="D160" s="996"/>
      <c r="E160" s="996"/>
      <c r="F160" s="997"/>
      <c r="G160" s="692"/>
      <c r="K160" s="490"/>
    </row>
    <row r="161" spans="1:11" ht="4.5" customHeight="1" hidden="1">
      <c r="A161" s="396"/>
      <c r="B161" s="486"/>
      <c r="C161" s="486"/>
      <c r="D161" s="486"/>
      <c r="E161" s="486"/>
      <c r="F161" s="493"/>
      <c r="G161" s="493"/>
      <c r="K161" s="490"/>
    </row>
    <row r="162" spans="1:7" ht="15" hidden="1">
      <c r="A162" s="396"/>
      <c r="B162" s="683"/>
      <c r="C162" s="686"/>
      <c r="D162" s="687"/>
      <c r="E162" s="688"/>
      <c r="F162" s="689"/>
      <c r="G162" s="954"/>
    </row>
    <row r="163" spans="1:11" ht="27" customHeight="1" hidden="1">
      <c r="A163" s="396">
        <v>52</v>
      </c>
      <c r="B163" s="996" t="s">
        <v>278</v>
      </c>
      <c r="C163" s="996"/>
      <c r="D163" s="996"/>
      <c r="E163" s="996"/>
      <c r="F163" s="997"/>
      <c r="G163" s="692"/>
      <c r="K163" s="490"/>
    </row>
    <row r="164" spans="1:11" ht="4.5" customHeight="1" hidden="1">
      <c r="A164" s="396"/>
      <c r="B164" s="486"/>
      <c r="C164" s="486"/>
      <c r="D164" s="486"/>
      <c r="E164" s="486"/>
      <c r="F164" s="493"/>
      <c r="G164" s="493"/>
      <c r="K164" s="490"/>
    </row>
    <row r="165" spans="1:7" ht="15" hidden="1">
      <c r="A165" s="396"/>
      <c r="B165" s="683"/>
      <c r="C165" s="686"/>
      <c r="D165" s="687"/>
      <c r="E165" s="688"/>
      <c r="F165" s="689"/>
      <c r="G165" s="954"/>
    </row>
    <row r="166" spans="1:11" ht="27" customHeight="1" hidden="1">
      <c r="A166" s="396">
        <v>53</v>
      </c>
      <c r="B166" s="996" t="s">
        <v>278</v>
      </c>
      <c r="C166" s="996"/>
      <c r="D166" s="996"/>
      <c r="E166" s="996"/>
      <c r="F166" s="997"/>
      <c r="G166" s="692"/>
      <c r="K166" s="490"/>
    </row>
    <row r="167" spans="1:11" ht="4.5" customHeight="1" hidden="1">
      <c r="A167" s="396"/>
      <c r="B167" s="486"/>
      <c r="C167" s="486"/>
      <c r="D167" s="486"/>
      <c r="E167" s="486"/>
      <c r="F167" s="493"/>
      <c r="G167" s="493"/>
      <c r="K167" s="490"/>
    </row>
    <row r="168" spans="1:7" ht="15" hidden="1">
      <c r="A168" s="396"/>
      <c r="B168" s="683"/>
      <c r="C168" s="686"/>
      <c r="D168" s="687"/>
      <c r="E168" s="688"/>
      <c r="F168" s="689"/>
      <c r="G168" s="954"/>
    </row>
    <row r="169" spans="1:11" ht="27" customHeight="1" hidden="1">
      <c r="A169" s="396">
        <v>54</v>
      </c>
      <c r="B169" s="996" t="s">
        <v>278</v>
      </c>
      <c r="C169" s="996"/>
      <c r="D169" s="996"/>
      <c r="E169" s="996"/>
      <c r="F169" s="997"/>
      <c r="G169" s="692"/>
      <c r="K169" s="490"/>
    </row>
    <row r="170" spans="2:7" ht="12.75" hidden="1">
      <c r="B170" s="744"/>
      <c r="C170" s="744"/>
      <c r="D170" s="744"/>
      <c r="E170" s="744"/>
      <c r="F170" s="744"/>
      <c r="G170" s="744"/>
    </row>
    <row r="171" spans="2:7" ht="12.75" hidden="1">
      <c r="B171" s="744"/>
      <c r="C171" s="744"/>
      <c r="D171" s="744"/>
      <c r="E171" s="744"/>
      <c r="F171" s="744"/>
      <c r="G171" s="744"/>
    </row>
    <row r="172" spans="2:7" ht="12.75" hidden="1">
      <c r="B172" s="744"/>
      <c r="C172" s="744"/>
      <c r="D172" s="744"/>
      <c r="E172" s="744"/>
      <c r="F172" s="744"/>
      <c r="G172" s="744"/>
    </row>
    <row r="173" spans="1:11" s="367" customFormat="1" ht="15" customHeight="1">
      <c r="A173" s="396"/>
      <c r="B173" s="486"/>
      <c r="C173" s="486"/>
      <c r="D173" s="486"/>
      <c r="E173" s="486"/>
      <c r="F173" s="493"/>
      <c r="G173" s="953"/>
      <c r="K173" s="955"/>
    </row>
    <row r="174" spans="1:7" ht="33" customHeight="1">
      <c r="A174" s="396"/>
      <c r="B174" s="984" t="s">
        <v>519</v>
      </c>
      <c r="C174" s="985"/>
      <c r="D174" s="985"/>
      <c r="E174" s="985"/>
      <c r="F174" s="985"/>
      <c r="G174" s="986"/>
    </row>
    <row r="175" spans="1:11" ht="41.25" customHeight="1">
      <c r="A175" s="396"/>
      <c r="B175" s="987"/>
      <c r="C175" s="988"/>
      <c r="D175" s="988"/>
      <c r="E175" s="988"/>
      <c r="F175" s="988"/>
      <c r="G175" s="989"/>
      <c r="K175" s="490">
        <f>IF(LEN(B175)&gt;1500,"IL NUMERO MASSIMO DI CARATTERI CONSENTITO E' 1500","")</f>
      </c>
    </row>
    <row r="176" spans="1:11" ht="12.75" customHeight="1">
      <c r="A176" s="396"/>
      <c r="B176" s="990"/>
      <c r="C176" s="991"/>
      <c r="D176" s="991"/>
      <c r="E176" s="991"/>
      <c r="F176" s="991"/>
      <c r="G176" s="992"/>
      <c r="K176" s="490"/>
    </row>
    <row r="177" spans="1:7" ht="12.75" customHeight="1">
      <c r="A177" s="396"/>
      <c r="B177" s="990"/>
      <c r="C177" s="991"/>
      <c r="D177" s="991"/>
      <c r="E177" s="991"/>
      <c r="F177" s="991"/>
      <c r="G177" s="992"/>
    </row>
    <row r="178" spans="1:7" ht="12.75" customHeight="1">
      <c r="A178" s="396"/>
      <c r="B178" s="990"/>
      <c r="C178" s="991"/>
      <c r="D178" s="991"/>
      <c r="E178" s="991"/>
      <c r="F178" s="991"/>
      <c r="G178" s="992"/>
    </row>
    <row r="179" spans="1:7" ht="12.75" customHeight="1">
      <c r="A179" s="396"/>
      <c r="B179" s="993"/>
      <c r="C179" s="994"/>
      <c r="D179" s="994"/>
      <c r="E179" s="994"/>
      <c r="F179" s="994"/>
      <c r="G179" s="995"/>
    </row>
    <row r="180" spans="2:7" ht="38.25" customHeight="1">
      <c r="B180" s="983" t="s">
        <v>311</v>
      </c>
      <c r="C180" s="983"/>
      <c r="D180" s="983"/>
      <c r="E180" s="983"/>
      <c r="F180" s="983"/>
      <c r="G180" s="983"/>
    </row>
    <row r="181" ht="51" customHeight="1">
      <c r="C181" s="599"/>
    </row>
    <row r="182" spans="1:7" s="563" customFormat="1" ht="38.25" customHeight="1">
      <c r="A182" s="604"/>
      <c r="B182" s="981" t="s">
        <v>392</v>
      </c>
      <c r="C182" s="982"/>
      <c r="D182" s="982"/>
      <c r="E182" s="982"/>
      <c r="F182" s="982"/>
      <c r="G182" s="982"/>
    </row>
    <row r="183" ht="51.75" customHeight="1">
      <c r="C183" s="599"/>
    </row>
    <row r="184" ht="21.75" customHeight="1">
      <c r="C184" s="599"/>
    </row>
    <row r="185" spans="1:11" ht="45" customHeight="1">
      <c r="A185" s="389"/>
      <c r="B185" s="979" t="s">
        <v>437</v>
      </c>
      <c r="C185" s="979"/>
      <c r="D185" s="979"/>
      <c r="E185" s="979"/>
      <c r="F185" s="979"/>
      <c r="G185" s="979"/>
      <c r="H185" s="494"/>
      <c r="I185" s="494"/>
      <c r="J185" s="494"/>
      <c r="K185" s="494"/>
    </row>
    <row r="186" spans="1:7" s="930" customFormat="1" ht="12.75">
      <c r="A186" s="927"/>
      <c r="B186" s="928" t="s">
        <v>323</v>
      </c>
      <c r="C186" s="928">
        <f>IF(COCOCO!$I$24&gt;0,1,0)</f>
        <v>0</v>
      </c>
      <c r="D186" s="929"/>
      <c r="E186" s="928" t="s">
        <v>18</v>
      </c>
      <c r="F186" s="928">
        <f>IF(COUNTIF('Squadratura 1'!J6:J8,"ERRORE")=0,0,1)</f>
        <v>0</v>
      </c>
      <c r="G186" s="929"/>
    </row>
    <row r="187" spans="1:7" s="930" customFormat="1" ht="12.75">
      <c r="A187" s="927"/>
      <c r="B187" s="928" t="s">
        <v>17</v>
      </c>
      <c r="C187" s="928">
        <f>IF(('t1'!$K$9+'t1'!$L$9)&gt;0,1,0)</f>
        <v>0</v>
      </c>
      <c r="D187" s="929"/>
      <c r="E187" s="928" t="s">
        <v>20</v>
      </c>
      <c r="F187" s="928">
        <f>IF(OR('Squadratura 2'!G10="ERRORE",'Squadratura 2'!L10="ERRORE"),1,0)</f>
        <v>0</v>
      </c>
      <c r="G187" s="929"/>
    </row>
    <row r="188" spans="1:7" s="930" customFormat="1" ht="12.75">
      <c r="A188" s="927"/>
      <c r="B188" s="928" t="s">
        <v>19</v>
      </c>
      <c r="C188" s="928">
        <f>IF(SUM('t2'!C8:P8)&gt;0,1,0)</f>
        <v>0</v>
      </c>
      <c r="D188" s="929"/>
      <c r="E188" s="928" t="s">
        <v>22</v>
      </c>
      <c r="F188" s="928">
        <f>IF(OR('Squadratura 3'!N11="ERRORE",'Squadratura 3'!O11="ERRORE",'Squadratura 3'!AA11="ERRORE",'Squadratura 3'!AB11="ERRORE"),1,0)</f>
        <v>0</v>
      </c>
      <c r="G188" s="929"/>
    </row>
    <row r="189" spans="1:7" s="930" customFormat="1" ht="12.75">
      <c r="A189" s="927"/>
      <c r="B189" s="928" t="s">
        <v>322</v>
      </c>
      <c r="C189" s="928">
        <f>IF('t2A'!$T$14&gt;0,1,0)</f>
        <v>0</v>
      </c>
      <c r="D189" s="929"/>
      <c r="E189" s="928" t="s">
        <v>24</v>
      </c>
      <c r="F189" s="928">
        <f>IF(COUNTIF('Squadratura 4'!I6:I8,"ERRORE")=0,0,1)</f>
        <v>0</v>
      </c>
      <c r="G189" s="929"/>
    </row>
    <row r="190" spans="1:11" s="930" customFormat="1" ht="12.75">
      <c r="A190" s="927"/>
      <c r="B190" s="928" t="s">
        <v>21</v>
      </c>
      <c r="C190" s="928">
        <f>IF(SUM('t3'!C9:R9)&gt;0,1,0)</f>
        <v>0</v>
      </c>
      <c r="D190" s="929"/>
      <c r="E190" s="928" t="s">
        <v>28</v>
      </c>
      <c r="F190" s="928">
        <f>IF(COUNTIF('Incongruenze 1 e 11'!D5:D7,"OK")=3,0,1)</f>
        <v>0</v>
      </c>
      <c r="G190" s="929"/>
      <c r="K190" s="931"/>
    </row>
    <row r="191" spans="1:11" s="930" customFormat="1" ht="12.75">
      <c r="A191" s="927"/>
      <c r="B191" s="928" t="s">
        <v>23</v>
      </c>
      <c r="C191" s="928">
        <f>IF(('t4'!$F$9)&gt;0,1,0)</f>
        <v>0</v>
      </c>
      <c r="D191" s="929"/>
      <c r="E191" s="928" t="s">
        <v>30</v>
      </c>
      <c r="F191" s="928">
        <f>IF(COUNTIF('Incongruenza 2'!I6:I8,"ERRORE")=0,0,1)</f>
        <v>0</v>
      </c>
      <c r="G191" s="928"/>
      <c r="K191" s="931"/>
    </row>
    <row r="192" spans="1:11" s="930" customFormat="1" ht="12.75">
      <c r="A192" s="927"/>
      <c r="B192" s="928" t="s">
        <v>25</v>
      </c>
      <c r="C192" s="928">
        <f>IF(('t5'!$S$10+'t5'!$T$10)&gt;0,1,0)</f>
        <v>0</v>
      </c>
      <c r="D192" s="929"/>
      <c r="E192" s="928" t="s">
        <v>492</v>
      </c>
      <c r="F192" s="928">
        <f>IF(COUNTIF('Incongruenze 3, 12 e 13'!D5:D7,"OK")=3,0,1)</f>
        <v>0</v>
      </c>
      <c r="G192" s="929"/>
      <c r="K192" s="931"/>
    </row>
    <row r="193" spans="1:11" s="930" customFormat="1" ht="12.75">
      <c r="A193" s="927"/>
      <c r="B193" s="928" t="s">
        <v>26</v>
      </c>
      <c r="C193" s="928">
        <f>IF(('t6'!$U$10+'t6'!$V$10)&gt;0,1,0)</f>
        <v>0</v>
      </c>
      <c r="D193" s="929"/>
      <c r="E193" s="928" t="s">
        <v>32</v>
      </c>
      <c r="F193" s="928">
        <f>IF(OR(AND('Incongruenza 4 e controlli t14'!F21=" ",'Incongruenza 4 e controlli t14'!F23=" "),AND('Incongruenza 4 e controlli t14'!F21="OK",'Incongruenza 4 e controlli t14'!F23="OK"),AND('Incongruenza 4 e controlli t14'!F23="E' stata dichiarata IRAP Commerciale")),0,1)</f>
        <v>0</v>
      </c>
      <c r="G193" s="929"/>
      <c r="K193" s="931"/>
    </row>
    <row r="194" spans="1:11" s="930" customFormat="1" ht="12.75">
      <c r="A194" s="927"/>
      <c r="B194" s="928" t="s">
        <v>27</v>
      </c>
      <c r="C194" s="928">
        <f>IF(('t7'!$W$9+'t7'!$X$9)&gt;0,1,0)</f>
        <v>0</v>
      </c>
      <c r="D194" s="929"/>
      <c r="E194" s="928" t="s">
        <v>34</v>
      </c>
      <c r="F194" s="928">
        <f>IF(COUNTIF('Incongruenza 5'!G6:G8,"ERRORE")=0,0,1)</f>
        <v>0</v>
      </c>
      <c r="G194" s="929"/>
      <c r="K194" s="931"/>
    </row>
    <row r="195" spans="1:11" s="930" customFormat="1" ht="12.75">
      <c r="A195" s="927"/>
      <c r="B195" s="928" t="s">
        <v>29</v>
      </c>
      <c r="C195" s="928">
        <f>IF(('t8'!$AA$9+'t8'!$AB$9)&gt;0,1,0)</f>
        <v>0</v>
      </c>
      <c r="D195" s="929"/>
      <c r="E195" s="928" t="s">
        <v>36</v>
      </c>
      <c r="F195" s="928">
        <f>IF(COUNTIF('Incongruenza 6'!E6:E8,"ERRORE")=0,0,1)</f>
        <v>0</v>
      </c>
      <c r="G195" s="929"/>
      <c r="K195" s="931"/>
    </row>
    <row r="196" spans="1:11" s="930" customFormat="1" ht="12.75">
      <c r="A196" s="927"/>
      <c r="B196" s="928" t="s">
        <v>31</v>
      </c>
      <c r="C196" s="928">
        <f>IF(('t9'!$O$9+'t9'!$P$9)&gt;0,1,0)</f>
        <v>0</v>
      </c>
      <c r="D196" s="929"/>
      <c r="E196" s="928" t="s">
        <v>38</v>
      </c>
      <c r="F196" s="928">
        <f>IF(COUNTIF('Incongruenza 7'!I6:I8,"ERRORE")=0,0,1)</f>
        <v>0</v>
      </c>
      <c r="G196" s="929"/>
      <c r="K196" s="931"/>
    </row>
    <row r="197" spans="1:11" s="930" customFormat="1" ht="12.75">
      <c r="A197" s="927"/>
      <c r="B197" s="928" t="s">
        <v>33</v>
      </c>
      <c r="C197" s="928">
        <f>IF(('t10'!$AU$9+'t10'!$AV$9)&gt;0,1,0)</f>
        <v>0</v>
      </c>
      <c r="D197" s="929"/>
      <c r="E197" s="928" t="s">
        <v>411</v>
      </c>
      <c r="F197" s="928">
        <f>IF(COUNTIF('Incongruenza 8'!J6:J8,"ERRORE")=0,0,1)</f>
        <v>0</v>
      </c>
      <c r="G197" s="929"/>
      <c r="K197" s="931"/>
    </row>
    <row r="198" spans="1:7" s="930" customFormat="1" ht="12.75">
      <c r="A198" s="927"/>
      <c r="B198" s="928" t="s">
        <v>35</v>
      </c>
      <c r="C198" s="928">
        <f>IF(('t11'!$U$11+'t11'!$V$11)&gt;0,1,0)</f>
        <v>0</v>
      </c>
      <c r="D198" s="929"/>
      <c r="E198" s="928" t="s">
        <v>527</v>
      </c>
      <c r="F198" s="928">
        <f>IF(COUNTIF('Incongruenza 10'!K8:L8,"OK")=2,0,1)</f>
        <v>0</v>
      </c>
      <c r="G198" s="929"/>
    </row>
    <row r="199" spans="1:7" s="930" customFormat="1" ht="12.75">
      <c r="A199" s="927"/>
      <c r="B199" s="928" t="s">
        <v>37</v>
      </c>
      <c r="C199" s="928">
        <f>IF(('t12'!$K$9+'t12'!$C$9)&gt;0,1,0)</f>
        <v>0</v>
      </c>
      <c r="D199" s="929"/>
      <c r="E199" s="928" t="s">
        <v>555</v>
      </c>
      <c r="F199" s="928">
        <f>IF(COUNTIF('Incongruenze 1 e 11'!D13:D20,"OK")=6,0,1)</f>
        <v>0</v>
      </c>
      <c r="G199" s="929"/>
    </row>
    <row r="200" spans="1:7" s="930" customFormat="1" ht="12.75">
      <c r="A200" s="927"/>
      <c r="B200" s="928" t="s">
        <v>39</v>
      </c>
      <c r="C200" s="928">
        <f>IF(('t13'!$K$9)&gt;0,1,0)</f>
        <v>0</v>
      </c>
      <c r="D200" s="929"/>
      <c r="E200" s="928" t="s">
        <v>556</v>
      </c>
      <c r="F200" s="928">
        <f>IF(COUNTIF('Incongruenze 3, 12 e 13'!D13:D14,"OK")=2,0,1)</f>
        <v>0</v>
      </c>
      <c r="G200" s="929"/>
    </row>
    <row r="201" spans="1:7" s="930" customFormat="1" ht="12.75">
      <c r="A201" s="927"/>
      <c r="B201" s="928" t="s">
        <v>40</v>
      </c>
      <c r="C201" s="928">
        <f>IF(('Incongruenza 4 e controlli t14'!$C$31)&gt;0,1,0)</f>
        <v>0</v>
      </c>
      <c r="D201" s="929"/>
      <c r="E201" s="928" t="s">
        <v>557</v>
      </c>
      <c r="F201" s="928">
        <f>IF(COUNTIF('Incongruenze 3, 12 e 13'!D20,"OK")=1,0,1)</f>
        <v>0</v>
      </c>
      <c r="G201" s="929"/>
    </row>
    <row r="202" spans="1:7" s="930" customFormat="1" ht="12.75">
      <c r="A202" s="927"/>
      <c r="B202" s="928" t="s">
        <v>491</v>
      </c>
      <c r="C202" s="928">
        <f>IF(('Tabella Riconciliazione'!$F$32)&gt;0,1,0)</f>
        <v>0</v>
      </c>
      <c r="D202" s="929"/>
      <c r="E202" s="928" t="s">
        <v>558</v>
      </c>
      <c r="F202" s="928">
        <f>IF(COUNTIF('Incongruenza 14'!G6:G49,"ERRORE")=0,0,1)</f>
        <v>0</v>
      </c>
      <c r="G202" s="929"/>
    </row>
    <row r="203" spans="1:7" s="930" customFormat="1" ht="12.75">
      <c r="A203" s="927"/>
      <c r="B203" s="929"/>
      <c r="C203" s="929"/>
      <c r="D203" s="929"/>
      <c r="E203" s="929" t="s">
        <v>575</v>
      </c>
      <c r="F203" s="929">
        <f>IF(('t12'!$AK$5)&gt;0,1,0)</f>
        <v>0</v>
      </c>
      <c r="G203" s="929"/>
    </row>
    <row r="204" spans="1:7" s="930" customFormat="1" ht="12.75">
      <c r="A204" s="927"/>
      <c r="B204" s="929"/>
      <c r="C204" s="929"/>
      <c r="D204" s="929"/>
      <c r="E204" s="929"/>
      <c r="F204" s="929"/>
      <c r="G204" s="929"/>
    </row>
    <row r="205" spans="1:7" s="930" customFormat="1" ht="12.75">
      <c r="A205" s="927"/>
      <c r="B205" s="929"/>
      <c r="C205" s="929"/>
      <c r="D205" s="929"/>
      <c r="E205" s="744"/>
      <c r="F205" s="744"/>
      <c r="G205" s="929"/>
    </row>
    <row r="206" spans="1:7" s="494" customFormat="1" ht="12.75">
      <c r="A206" s="389"/>
      <c r="B206" s="744"/>
      <c r="C206" s="744"/>
      <c r="D206" s="744"/>
      <c r="E206" s="744"/>
      <c r="F206" s="744"/>
      <c r="G206" s="744"/>
    </row>
    <row r="207" spans="1:7" s="494" customFormat="1" ht="12.75">
      <c r="A207" s="389"/>
      <c r="B207" s="744"/>
      <c r="C207" s="744"/>
      <c r="D207" s="744"/>
      <c r="E207" s="391"/>
      <c r="F207" s="391"/>
      <c r="G207" s="744"/>
    </row>
    <row r="208" spans="1:7" s="494" customFormat="1" ht="12.75">
      <c r="A208" s="389"/>
      <c r="B208" s="744"/>
      <c r="C208" s="744"/>
      <c r="D208" s="744"/>
      <c r="E208" s="391"/>
      <c r="F208" s="391"/>
      <c r="G208" s="744"/>
    </row>
    <row r="209" spans="1:7" s="494" customFormat="1" ht="12.75">
      <c r="A209" s="389"/>
      <c r="B209" s="744"/>
      <c r="C209" s="744"/>
      <c r="D209" s="744"/>
      <c r="E209" s="391"/>
      <c r="F209" s="391"/>
      <c r="G209" s="744"/>
    </row>
    <row r="210" spans="1:7" s="496" customFormat="1" ht="12.75">
      <c r="A210" s="495"/>
      <c r="B210" s="391"/>
      <c r="C210" s="391"/>
      <c r="D210" s="391"/>
      <c r="E210" s="391"/>
      <c r="F210" s="391"/>
      <c r="G210" s="391"/>
    </row>
    <row r="211" spans="1:7" s="496" customFormat="1" ht="12.75">
      <c r="A211" s="495"/>
      <c r="B211" s="391"/>
      <c r="C211" s="391"/>
      <c r="D211" s="391"/>
      <c r="E211" s="391"/>
      <c r="F211" s="391"/>
      <c r="G211" s="391"/>
    </row>
    <row r="212" spans="1:7" s="496" customFormat="1" ht="12.75">
      <c r="A212" s="495"/>
      <c r="B212" s="391"/>
      <c r="C212" s="391"/>
      <c r="D212" s="391"/>
      <c r="E212" s="391"/>
      <c r="F212" s="391"/>
      <c r="G212" s="391"/>
    </row>
    <row r="213" spans="1:7" s="496" customFormat="1" ht="12.75">
      <c r="A213" s="495"/>
      <c r="B213" s="391"/>
      <c r="C213" s="391"/>
      <c r="D213" s="391"/>
      <c r="E213" s="391"/>
      <c r="F213" s="391"/>
      <c r="G213" s="391"/>
    </row>
    <row r="214" spans="1:7" s="496" customFormat="1" ht="12.75">
      <c r="A214" s="495"/>
      <c r="B214" s="391"/>
      <c r="C214" s="391"/>
      <c r="D214" s="391"/>
      <c r="E214" s="391"/>
      <c r="F214" s="391"/>
      <c r="G214" s="391"/>
    </row>
    <row r="215" spans="1:7" s="496" customFormat="1" ht="12.75">
      <c r="A215" s="495"/>
      <c r="B215" s="391"/>
      <c r="C215" s="391"/>
      <c r="D215" s="391"/>
      <c r="E215" s="391"/>
      <c r="F215" s="391"/>
      <c r="G215" s="391"/>
    </row>
    <row r="216" spans="1:7" s="496" customFormat="1" ht="12.75">
      <c r="A216" s="495"/>
      <c r="B216" s="391"/>
      <c r="C216" s="391"/>
      <c r="D216" s="391"/>
      <c r="E216" s="391"/>
      <c r="F216" s="391"/>
      <c r="G216" s="391"/>
    </row>
    <row r="217" spans="1:7" s="496" customFormat="1" ht="12.75">
      <c r="A217" s="495"/>
      <c r="B217" s="391"/>
      <c r="C217" s="391"/>
      <c r="D217" s="391"/>
      <c r="E217" s="391"/>
      <c r="F217" s="391"/>
      <c r="G217" s="391"/>
    </row>
    <row r="218" spans="1:7" s="496" customFormat="1" ht="12.75">
      <c r="A218" s="495"/>
      <c r="B218" s="391"/>
      <c r="C218" s="391"/>
      <c r="D218" s="391"/>
      <c r="E218" s="391"/>
      <c r="F218" s="391"/>
      <c r="G218" s="391"/>
    </row>
    <row r="219" spans="1:7" s="496" customFormat="1" ht="12.75">
      <c r="A219" s="495"/>
      <c r="B219" s="391"/>
      <c r="C219" s="391"/>
      <c r="D219" s="391"/>
      <c r="E219" s="391"/>
      <c r="F219" s="391"/>
      <c r="G219" s="391"/>
    </row>
    <row r="220" spans="1:7" s="496" customFormat="1" ht="12.75">
      <c r="A220" s="495"/>
      <c r="B220" s="391"/>
      <c r="C220" s="391"/>
      <c r="D220" s="391"/>
      <c r="E220" s="391"/>
      <c r="F220" s="391"/>
      <c r="G220" s="391"/>
    </row>
    <row r="221" spans="1:7" s="496" customFormat="1" ht="12.75">
      <c r="A221" s="495"/>
      <c r="B221" s="391"/>
      <c r="C221" s="391"/>
      <c r="D221" s="391"/>
      <c r="E221" s="391"/>
      <c r="F221" s="391"/>
      <c r="G221" s="391"/>
    </row>
    <row r="222" spans="1:7" s="496" customFormat="1" ht="12.75">
      <c r="A222" s="495"/>
      <c r="B222" s="391"/>
      <c r="C222" s="391"/>
      <c r="D222" s="391"/>
      <c r="E222" s="391"/>
      <c r="F222" s="391"/>
      <c r="G222" s="391"/>
    </row>
    <row r="223" spans="1:7" s="496" customFormat="1" ht="12.75">
      <c r="A223" s="495"/>
      <c r="B223" s="391"/>
      <c r="C223" s="391"/>
      <c r="D223" s="391"/>
      <c r="E223" s="391"/>
      <c r="F223" s="391"/>
      <c r="G223" s="391"/>
    </row>
    <row r="224" spans="1:7" s="496" customFormat="1" ht="12.75">
      <c r="A224" s="495"/>
      <c r="B224" s="391"/>
      <c r="C224" s="391"/>
      <c r="D224" s="391"/>
      <c r="E224" s="391"/>
      <c r="F224" s="391"/>
      <c r="G224" s="391"/>
    </row>
    <row r="225" spans="1:7" s="496" customFormat="1" ht="12.75">
      <c r="A225" s="495"/>
      <c r="B225" s="391"/>
      <c r="C225" s="391"/>
      <c r="D225" s="391"/>
      <c r="E225" s="391"/>
      <c r="F225" s="391"/>
      <c r="G225" s="391"/>
    </row>
    <row r="226" spans="1:7" s="496" customFormat="1" ht="12.75">
      <c r="A226" s="495"/>
      <c r="B226" s="391"/>
      <c r="C226" s="391"/>
      <c r="D226" s="391"/>
      <c r="E226" s="391"/>
      <c r="F226" s="391"/>
      <c r="G226" s="391"/>
    </row>
    <row r="227" spans="1:7" s="496" customFormat="1" ht="12.75">
      <c r="A227" s="495"/>
      <c r="B227" s="391"/>
      <c r="C227" s="391"/>
      <c r="D227" s="391"/>
      <c r="E227" s="391"/>
      <c r="F227" s="391"/>
      <c r="G227" s="391"/>
    </row>
    <row r="228" spans="1:7" s="496" customFormat="1" ht="12.75">
      <c r="A228" s="495"/>
      <c r="B228" s="391"/>
      <c r="C228" s="391"/>
      <c r="D228" s="391"/>
      <c r="E228" s="391"/>
      <c r="F228" s="391"/>
      <c r="G228" s="391"/>
    </row>
    <row r="229" spans="1:7" s="496" customFormat="1" ht="12.75">
      <c r="A229" s="495"/>
      <c r="B229" s="391"/>
      <c r="C229" s="391"/>
      <c r="D229" s="391"/>
      <c r="E229" s="391"/>
      <c r="F229" s="391"/>
      <c r="G229" s="391"/>
    </row>
    <row r="230" spans="1:7" s="496" customFormat="1" ht="12.75">
      <c r="A230" s="495"/>
      <c r="B230" s="391"/>
      <c r="C230" s="391"/>
      <c r="D230" s="391"/>
      <c r="E230" s="391"/>
      <c r="F230" s="391"/>
      <c r="G230" s="391"/>
    </row>
    <row r="231" spans="1:7" s="496" customFormat="1" ht="12.75">
      <c r="A231" s="495"/>
      <c r="B231" s="391"/>
      <c r="C231" s="391"/>
      <c r="D231" s="391"/>
      <c r="E231" s="391"/>
      <c r="F231" s="391"/>
      <c r="G231" s="391"/>
    </row>
    <row r="232" spans="1:7" s="496" customFormat="1" ht="12.75">
      <c r="A232" s="495"/>
      <c r="B232" s="391"/>
      <c r="C232" s="391"/>
      <c r="D232" s="391"/>
      <c r="E232" s="391"/>
      <c r="F232" s="391"/>
      <c r="G232" s="391"/>
    </row>
    <row r="233" spans="1:7" s="496" customFormat="1" ht="12.75">
      <c r="A233" s="495"/>
      <c r="B233" s="391"/>
      <c r="C233" s="391"/>
      <c r="D233" s="391"/>
      <c r="E233" s="391"/>
      <c r="F233" s="391"/>
      <c r="G233" s="391"/>
    </row>
    <row r="234" spans="1:7" s="496" customFormat="1" ht="12.75">
      <c r="A234" s="495"/>
      <c r="B234" s="391"/>
      <c r="C234" s="391"/>
      <c r="D234" s="391"/>
      <c r="E234" s="391"/>
      <c r="F234" s="391"/>
      <c r="G234" s="391"/>
    </row>
    <row r="235" spans="1:7" s="496" customFormat="1" ht="12.75">
      <c r="A235" s="495"/>
      <c r="B235" s="391"/>
      <c r="C235" s="391"/>
      <c r="D235" s="391"/>
      <c r="E235" s="391"/>
      <c r="F235" s="391"/>
      <c r="G235" s="391"/>
    </row>
    <row r="236" spans="1:7" s="496" customFormat="1" ht="12.75">
      <c r="A236" s="495"/>
      <c r="B236" s="391"/>
      <c r="C236" s="391"/>
      <c r="D236" s="391"/>
      <c r="E236" s="391"/>
      <c r="F236" s="391"/>
      <c r="G236" s="391"/>
    </row>
    <row r="237" spans="1:7" s="496" customFormat="1" ht="12.75">
      <c r="A237" s="495"/>
      <c r="B237" s="391"/>
      <c r="C237" s="391"/>
      <c r="D237" s="391"/>
      <c r="E237" s="391"/>
      <c r="F237" s="391"/>
      <c r="G237" s="391"/>
    </row>
    <row r="238" spans="1:7" s="496" customFormat="1" ht="12.75">
      <c r="A238" s="495"/>
      <c r="B238" s="391"/>
      <c r="C238" s="391"/>
      <c r="D238" s="391"/>
      <c r="E238" s="391"/>
      <c r="F238" s="391"/>
      <c r="G238" s="391"/>
    </row>
    <row r="239" spans="1:7" s="496" customFormat="1" ht="12.75">
      <c r="A239" s="495"/>
      <c r="B239" s="391"/>
      <c r="C239" s="391"/>
      <c r="D239" s="391"/>
      <c r="E239" s="391"/>
      <c r="F239" s="391"/>
      <c r="G239" s="391"/>
    </row>
    <row r="240" spans="1:7" s="496" customFormat="1" ht="12.75">
      <c r="A240" s="495"/>
      <c r="B240" s="391"/>
      <c r="C240" s="391"/>
      <c r="D240" s="391"/>
      <c r="E240" s="391"/>
      <c r="F240" s="391"/>
      <c r="G240" s="391"/>
    </row>
    <row r="241" spans="1:7" s="496" customFormat="1" ht="12.75">
      <c r="A241" s="495"/>
      <c r="B241" s="391"/>
      <c r="C241" s="391"/>
      <c r="D241" s="391"/>
      <c r="E241" s="391"/>
      <c r="F241" s="391"/>
      <c r="G241" s="391"/>
    </row>
    <row r="242" spans="1:7" s="496" customFormat="1" ht="12.75">
      <c r="A242" s="495"/>
      <c r="B242" s="391"/>
      <c r="C242" s="391"/>
      <c r="D242" s="391"/>
      <c r="E242" s="391"/>
      <c r="F242" s="391"/>
      <c r="G242" s="391"/>
    </row>
    <row r="243" spans="1:7" s="496" customFormat="1" ht="12.75">
      <c r="A243" s="495"/>
      <c r="B243" s="391"/>
      <c r="C243" s="391"/>
      <c r="D243" s="391"/>
      <c r="E243" s="391"/>
      <c r="F243" s="391"/>
      <c r="G243" s="391"/>
    </row>
    <row r="244" spans="1:7" s="496" customFormat="1" ht="12.75">
      <c r="A244" s="495"/>
      <c r="B244" s="391"/>
      <c r="C244" s="391"/>
      <c r="D244" s="391"/>
      <c r="E244" s="391"/>
      <c r="F244" s="391"/>
      <c r="G244" s="391"/>
    </row>
    <row r="245" spans="1:7" s="496" customFormat="1" ht="12.75">
      <c r="A245" s="495"/>
      <c r="B245" s="391"/>
      <c r="C245" s="391"/>
      <c r="D245" s="391"/>
      <c r="E245" s="391"/>
      <c r="F245" s="391"/>
      <c r="G245" s="391"/>
    </row>
    <row r="246" spans="1:7" s="496" customFormat="1" ht="12.75">
      <c r="A246" s="495"/>
      <c r="B246" s="391"/>
      <c r="C246" s="391"/>
      <c r="D246" s="391"/>
      <c r="E246" s="391"/>
      <c r="F246" s="391"/>
      <c r="G246" s="391"/>
    </row>
    <row r="247" spans="1:7" s="496" customFormat="1" ht="12.75">
      <c r="A247" s="495"/>
      <c r="B247" s="391"/>
      <c r="C247" s="391"/>
      <c r="D247" s="391"/>
      <c r="E247" s="391"/>
      <c r="F247" s="391"/>
      <c r="G247" s="391"/>
    </row>
    <row r="248" spans="1:7" s="496" customFormat="1" ht="12.75">
      <c r="A248" s="495"/>
      <c r="B248" s="391"/>
      <c r="C248" s="391"/>
      <c r="D248" s="391"/>
      <c r="E248" s="391"/>
      <c r="F248" s="391"/>
      <c r="G248" s="391"/>
    </row>
    <row r="249" spans="1:7" s="496" customFormat="1" ht="12.75">
      <c r="A249" s="495"/>
      <c r="B249" s="391"/>
      <c r="C249" s="391"/>
      <c r="D249" s="391"/>
      <c r="E249" s="391"/>
      <c r="F249" s="391"/>
      <c r="G249" s="391"/>
    </row>
    <row r="250" spans="1:7" s="496" customFormat="1" ht="12.75">
      <c r="A250" s="495"/>
      <c r="B250" s="391"/>
      <c r="C250" s="391"/>
      <c r="D250" s="391"/>
      <c r="E250" s="391"/>
      <c r="F250" s="391"/>
      <c r="G250" s="391"/>
    </row>
    <row r="251" spans="1:7" s="496" customFormat="1" ht="12.75">
      <c r="A251" s="495"/>
      <c r="B251" s="391"/>
      <c r="C251" s="391"/>
      <c r="D251" s="391"/>
      <c r="E251" s="391"/>
      <c r="F251" s="391"/>
      <c r="G251" s="391"/>
    </row>
    <row r="252" spans="1:7" s="496" customFormat="1" ht="12.75">
      <c r="A252" s="495"/>
      <c r="B252" s="391"/>
      <c r="C252" s="391"/>
      <c r="D252" s="391"/>
      <c r="E252" s="391"/>
      <c r="F252" s="391"/>
      <c r="G252" s="391"/>
    </row>
    <row r="253" spans="1:7" s="496" customFormat="1" ht="12.75">
      <c r="A253" s="495"/>
      <c r="B253" s="391"/>
      <c r="C253" s="391"/>
      <c r="D253" s="391"/>
      <c r="E253" s="391"/>
      <c r="F253" s="391"/>
      <c r="G253" s="391"/>
    </row>
    <row r="254" spans="1:7" s="496" customFormat="1" ht="12.75">
      <c r="A254" s="495"/>
      <c r="B254" s="391"/>
      <c r="C254" s="391"/>
      <c r="D254" s="391"/>
      <c r="E254" s="391"/>
      <c r="F254" s="391"/>
      <c r="G254" s="391"/>
    </row>
    <row r="255" spans="1:7" s="496" customFormat="1" ht="12.75">
      <c r="A255" s="495"/>
      <c r="B255" s="391"/>
      <c r="C255" s="391"/>
      <c r="D255" s="391"/>
      <c r="E255" s="391"/>
      <c r="F255" s="391"/>
      <c r="G255" s="391"/>
    </row>
    <row r="256" spans="1:7" s="496" customFormat="1" ht="12.75">
      <c r="A256" s="495"/>
      <c r="B256" s="391"/>
      <c r="C256" s="391"/>
      <c r="D256" s="391"/>
      <c r="E256" s="391"/>
      <c r="F256" s="391"/>
      <c r="G256" s="391"/>
    </row>
    <row r="257" spans="1:7" s="496" customFormat="1" ht="12.75">
      <c r="A257" s="495"/>
      <c r="B257" s="391"/>
      <c r="C257" s="391"/>
      <c r="D257" s="391"/>
      <c r="E257" s="391"/>
      <c r="F257" s="391"/>
      <c r="G257" s="391"/>
    </row>
    <row r="258" spans="1:7" s="496" customFormat="1" ht="12.75">
      <c r="A258" s="495"/>
      <c r="B258" s="391"/>
      <c r="C258" s="391"/>
      <c r="D258" s="391"/>
      <c r="E258" s="391"/>
      <c r="F258" s="391"/>
      <c r="G258" s="391"/>
    </row>
    <row r="259" spans="1:7" s="496" customFormat="1" ht="12.75">
      <c r="A259" s="495"/>
      <c r="B259" s="391"/>
      <c r="C259" s="391"/>
      <c r="D259" s="391"/>
      <c r="E259" s="391"/>
      <c r="F259" s="391"/>
      <c r="G259" s="391"/>
    </row>
    <row r="260" spans="1:7" s="496" customFormat="1" ht="12.75">
      <c r="A260" s="495"/>
      <c r="B260" s="391"/>
      <c r="C260" s="391"/>
      <c r="D260" s="391"/>
      <c r="E260" s="391"/>
      <c r="F260" s="391"/>
      <c r="G260" s="391"/>
    </row>
    <row r="261" spans="1:7" s="496" customFormat="1" ht="12.75">
      <c r="A261" s="495"/>
      <c r="B261" s="391"/>
      <c r="C261" s="391"/>
      <c r="D261" s="391"/>
      <c r="E261" s="391"/>
      <c r="F261" s="391"/>
      <c r="G261" s="391"/>
    </row>
    <row r="262" spans="1:7" s="496" customFormat="1" ht="12.75">
      <c r="A262" s="495"/>
      <c r="B262" s="391"/>
      <c r="C262" s="391"/>
      <c r="D262" s="391"/>
      <c r="E262" s="391"/>
      <c r="F262" s="391"/>
      <c r="G262" s="391"/>
    </row>
    <row r="263" spans="1:7" s="496" customFormat="1" ht="12.75">
      <c r="A263" s="495"/>
      <c r="B263" s="391"/>
      <c r="C263" s="391"/>
      <c r="D263" s="391"/>
      <c r="E263" s="391"/>
      <c r="F263" s="391"/>
      <c r="G263" s="391"/>
    </row>
    <row r="264" spans="1:7" s="496" customFormat="1" ht="12.75">
      <c r="A264" s="495"/>
      <c r="B264" s="391"/>
      <c r="C264" s="391"/>
      <c r="D264" s="391"/>
      <c r="E264" s="391"/>
      <c r="F264" s="391"/>
      <c r="G264" s="391"/>
    </row>
    <row r="265" spans="1:7" s="496" customFormat="1" ht="12.75">
      <c r="A265" s="495"/>
      <c r="B265" s="391"/>
      <c r="C265" s="391"/>
      <c r="D265" s="391"/>
      <c r="E265" s="391"/>
      <c r="F265" s="391"/>
      <c r="G265" s="391"/>
    </row>
    <row r="266" spans="1:7" s="496" customFormat="1" ht="12.75">
      <c r="A266" s="495"/>
      <c r="B266" s="391"/>
      <c r="C266" s="391"/>
      <c r="D266" s="391"/>
      <c r="E266" s="391"/>
      <c r="F266" s="391"/>
      <c r="G266" s="391"/>
    </row>
    <row r="267" spans="1:7" s="496" customFormat="1" ht="12.75">
      <c r="A267" s="495"/>
      <c r="B267" s="391"/>
      <c r="C267" s="391"/>
      <c r="D267" s="391"/>
      <c r="E267" s="391"/>
      <c r="F267" s="391"/>
      <c r="G267" s="391"/>
    </row>
    <row r="268" spans="1:7" s="496" customFormat="1" ht="12.75">
      <c r="A268" s="495"/>
      <c r="B268" s="391"/>
      <c r="C268" s="391"/>
      <c r="D268" s="391"/>
      <c r="E268" s="391"/>
      <c r="F268" s="391"/>
      <c r="G268" s="391"/>
    </row>
    <row r="269" spans="1:7" s="496" customFormat="1" ht="12.75">
      <c r="A269" s="495"/>
      <c r="B269" s="391"/>
      <c r="C269" s="391"/>
      <c r="D269" s="391"/>
      <c r="E269" s="391"/>
      <c r="F269" s="391"/>
      <c r="G269" s="391"/>
    </row>
    <row r="270" spans="1:7" s="496" customFormat="1" ht="12.75">
      <c r="A270" s="495"/>
      <c r="B270" s="391"/>
      <c r="C270" s="391"/>
      <c r="D270" s="391"/>
      <c r="E270" s="391"/>
      <c r="F270" s="391"/>
      <c r="G270" s="391"/>
    </row>
    <row r="271" spans="1:7" s="496" customFormat="1" ht="12.75">
      <c r="A271" s="495"/>
      <c r="B271" s="391"/>
      <c r="C271" s="391"/>
      <c r="D271" s="391"/>
      <c r="E271" s="391"/>
      <c r="F271" s="391"/>
      <c r="G271" s="391"/>
    </row>
    <row r="272" spans="1:7" s="496" customFormat="1" ht="12.75">
      <c r="A272" s="495"/>
      <c r="B272" s="391"/>
      <c r="C272" s="391"/>
      <c r="D272" s="391"/>
      <c r="E272" s="391"/>
      <c r="F272" s="391"/>
      <c r="G272" s="391"/>
    </row>
    <row r="273" spans="1:7" s="496" customFormat="1" ht="12.75">
      <c r="A273" s="495"/>
      <c r="B273" s="391"/>
      <c r="C273" s="391"/>
      <c r="D273" s="391"/>
      <c r="E273" s="391"/>
      <c r="F273" s="391"/>
      <c r="G273" s="391"/>
    </row>
    <row r="274" spans="1:7" s="496" customFormat="1" ht="12.75">
      <c r="A274" s="495"/>
      <c r="B274" s="391"/>
      <c r="C274" s="391"/>
      <c r="D274" s="391"/>
      <c r="E274" s="391"/>
      <c r="F274" s="391"/>
      <c r="G274" s="391"/>
    </row>
    <row r="275" spans="1:7" s="496" customFormat="1" ht="12.75">
      <c r="A275" s="495"/>
      <c r="B275" s="391"/>
      <c r="C275" s="391"/>
      <c r="D275" s="391"/>
      <c r="E275" s="391"/>
      <c r="F275" s="391"/>
      <c r="G275" s="391"/>
    </row>
    <row r="276" spans="1:7" s="496" customFormat="1" ht="12.75">
      <c r="A276" s="495"/>
      <c r="B276" s="391"/>
      <c r="C276" s="391"/>
      <c r="D276" s="391"/>
      <c r="E276" s="391"/>
      <c r="F276" s="391"/>
      <c r="G276" s="391"/>
    </row>
    <row r="277" spans="1:7" s="496" customFormat="1" ht="12.75">
      <c r="A277" s="495"/>
      <c r="B277" s="391"/>
      <c r="C277" s="391"/>
      <c r="D277" s="391"/>
      <c r="E277" s="391"/>
      <c r="F277" s="391"/>
      <c r="G277" s="391"/>
    </row>
    <row r="278" spans="1:7" s="496" customFormat="1" ht="12.75">
      <c r="A278" s="495"/>
      <c r="B278" s="391"/>
      <c r="C278" s="391"/>
      <c r="D278" s="391"/>
      <c r="E278" s="391"/>
      <c r="F278" s="391"/>
      <c r="G278" s="391"/>
    </row>
    <row r="279" spans="1:7" s="496" customFormat="1" ht="12.75">
      <c r="A279" s="495"/>
      <c r="B279" s="391"/>
      <c r="C279" s="391"/>
      <c r="D279" s="391"/>
      <c r="E279" s="391"/>
      <c r="F279" s="391"/>
      <c r="G279" s="391"/>
    </row>
    <row r="280" spans="1:7" s="496" customFormat="1" ht="12.75">
      <c r="A280" s="495"/>
      <c r="B280" s="391"/>
      <c r="C280" s="391"/>
      <c r="D280" s="391"/>
      <c r="E280" s="391"/>
      <c r="F280" s="391"/>
      <c r="G280" s="391"/>
    </row>
    <row r="281" spans="1:7" s="496" customFormat="1" ht="12.75">
      <c r="A281" s="495"/>
      <c r="B281" s="391"/>
      <c r="C281" s="391"/>
      <c r="D281" s="391"/>
      <c r="E281" s="391"/>
      <c r="F281" s="391"/>
      <c r="G281" s="391"/>
    </row>
    <row r="282" spans="1:7" s="496" customFormat="1" ht="12.75">
      <c r="A282" s="495"/>
      <c r="B282" s="391"/>
      <c r="C282" s="391"/>
      <c r="D282" s="391"/>
      <c r="E282" s="391"/>
      <c r="F282" s="391"/>
      <c r="G282" s="391"/>
    </row>
    <row r="283" spans="1:7" s="496" customFormat="1" ht="12.75">
      <c r="A283" s="495"/>
      <c r="B283" s="391"/>
      <c r="C283" s="391"/>
      <c r="D283" s="391"/>
      <c r="E283" s="391"/>
      <c r="F283" s="391"/>
      <c r="G283" s="391"/>
    </row>
    <row r="284" spans="1:7" s="496" customFormat="1" ht="12.75">
      <c r="A284" s="495"/>
      <c r="B284" s="391"/>
      <c r="C284" s="391"/>
      <c r="D284" s="391"/>
      <c r="E284" s="391"/>
      <c r="F284" s="391"/>
      <c r="G284" s="391"/>
    </row>
    <row r="285" spans="1:7" s="496" customFormat="1" ht="12.75">
      <c r="A285" s="495"/>
      <c r="B285" s="391"/>
      <c r="C285" s="391"/>
      <c r="D285" s="391"/>
      <c r="E285" s="391"/>
      <c r="F285" s="391"/>
      <c r="G285" s="391"/>
    </row>
    <row r="286" spans="1:7" s="496" customFormat="1" ht="12.75">
      <c r="A286" s="495"/>
      <c r="B286" s="391"/>
      <c r="C286" s="391"/>
      <c r="D286" s="391"/>
      <c r="E286" s="391"/>
      <c r="F286" s="391"/>
      <c r="G286" s="391"/>
    </row>
    <row r="287" spans="1:7" s="496" customFormat="1" ht="12.75">
      <c r="A287" s="495"/>
      <c r="B287" s="391"/>
      <c r="C287" s="391"/>
      <c r="D287" s="391"/>
      <c r="E287" s="391"/>
      <c r="F287" s="391"/>
      <c r="G287" s="391"/>
    </row>
    <row r="288" spans="1:7" s="496" customFormat="1" ht="12.75">
      <c r="A288" s="495"/>
      <c r="B288" s="391"/>
      <c r="C288" s="391"/>
      <c r="D288" s="391"/>
      <c r="E288" s="391"/>
      <c r="F288" s="391"/>
      <c r="G288" s="391"/>
    </row>
    <row r="289" spans="1:7" s="496" customFormat="1" ht="12.75">
      <c r="A289" s="495"/>
      <c r="B289" s="391"/>
      <c r="C289" s="391"/>
      <c r="D289" s="391"/>
      <c r="E289" s="391"/>
      <c r="F289" s="391"/>
      <c r="G289" s="391"/>
    </row>
    <row r="290" spans="1:7" s="496" customFormat="1" ht="12.75">
      <c r="A290" s="495"/>
      <c r="B290" s="391"/>
      <c r="C290" s="391"/>
      <c r="D290" s="391"/>
      <c r="E290" s="391"/>
      <c r="F290" s="391"/>
      <c r="G290" s="391"/>
    </row>
    <row r="291" spans="1:7" s="496" customFormat="1" ht="12.75">
      <c r="A291" s="495"/>
      <c r="B291" s="391"/>
      <c r="C291" s="391"/>
      <c r="D291" s="391"/>
      <c r="E291" s="391"/>
      <c r="F291" s="391"/>
      <c r="G291" s="391"/>
    </row>
    <row r="292" spans="1:7" s="496" customFormat="1" ht="12.75">
      <c r="A292" s="495"/>
      <c r="B292" s="391"/>
      <c r="C292" s="391"/>
      <c r="D292" s="391"/>
      <c r="E292" s="391"/>
      <c r="F292" s="391"/>
      <c r="G292" s="391"/>
    </row>
    <row r="293" spans="1:7" s="496" customFormat="1" ht="12.75">
      <c r="A293" s="495"/>
      <c r="B293" s="391"/>
      <c r="C293" s="391"/>
      <c r="D293" s="391"/>
      <c r="E293" s="391"/>
      <c r="F293" s="391"/>
      <c r="G293" s="391"/>
    </row>
    <row r="294" spans="1:7" s="496" customFormat="1" ht="12.75">
      <c r="A294" s="495"/>
      <c r="B294" s="391"/>
      <c r="C294" s="391"/>
      <c r="D294" s="391"/>
      <c r="E294" s="391"/>
      <c r="F294" s="391"/>
      <c r="G294" s="391"/>
    </row>
    <row r="295" spans="1:7" s="496" customFormat="1" ht="12.75">
      <c r="A295" s="495"/>
      <c r="B295" s="391"/>
      <c r="C295" s="391"/>
      <c r="D295" s="391"/>
      <c r="E295" s="391"/>
      <c r="F295" s="391"/>
      <c r="G295" s="391"/>
    </row>
    <row r="296" spans="1:7" s="496" customFormat="1" ht="12.75">
      <c r="A296" s="495"/>
      <c r="B296" s="391"/>
      <c r="C296" s="391"/>
      <c r="D296" s="391"/>
      <c r="E296" s="391"/>
      <c r="F296" s="391"/>
      <c r="G296" s="391"/>
    </row>
    <row r="297" spans="1:7" s="496" customFormat="1" ht="12.75">
      <c r="A297" s="495"/>
      <c r="B297" s="391"/>
      <c r="C297" s="391"/>
      <c r="D297" s="391"/>
      <c r="E297" s="391"/>
      <c r="F297" s="391"/>
      <c r="G297" s="391"/>
    </row>
    <row r="298" spans="1:7" s="496" customFormat="1" ht="12.75">
      <c r="A298" s="495"/>
      <c r="B298" s="391"/>
      <c r="C298" s="391"/>
      <c r="D298" s="391"/>
      <c r="E298" s="391"/>
      <c r="F298" s="391"/>
      <c r="G298" s="391"/>
    </row>
    <row r="299" spans="1:7" s="496" customFormat="1" ht="12.75">
      <c r="A299" s="495"/>
      <c r="B299" s="391"/>
      <c r="C299" s="391"/>
      <c r="D299" s="391"/>
      <c r="E299" s="391"/>
      <c r="F299" s="391"/>
      <c r="G299" s="391"/>
    </row>
    <row r="300" spans="1:7" s="496" customFormat="1" ht="12.75">
      <c r="A300" s="495"/>
      <c r="B300" s="391"/>
      <c r="C300" s="391"/>
      <c r="D300" s="391"/>
      <c r="E300" s="391"/>
      <c r="F300" s="391"/>
      <c r="G300" s="391"/>
    </row>
    <row r="301" spans="1:7" s="496" customFormat="1" ht="12.75">
      <c r="A301" s="495"/>
      <c r="B301" s="391"/>
      <c r="C301" s="391"/>
      <c r="D301" s="391"/>
      <c r="E301" s="391"/>
      <c r="F301" s="391"/>
      <c r="G301" s="391"/>
    </row>
    <row r="302" spans="1:7" s="496" customFormat="1" ht="12.75">
      <c r="A302" s="495"/>
      <c r="B302" s="391"/>
      <c r="C302" s="391"/>
      <c r="D302" s="391"/>
      <c r="E302" s="391"/>
      <c r="F302" s="391"/>
      <c r="G302" s="391"/>
    </row>
    <row r="303" spans="1:7" s="496" customFormat="1" ht="12.75">
      <c r="A303" s="495"/>
      <c r="B303" s="391"/>
      <c r="C303" s="391"/>
      <c r="D303" s="391"/>
      <c r="E303" s="391"/>
      <c r="F303" s="391"/>
      <c r="G303" s="391"/>
    </row>
    <row r="304" spans="1:7" s="496" customFormat="1" ht="12.75">
      <c r="A304" s="495"/>
      <c r="B304" s="391"/>
      <c r="C304" s="391"/>
      <c r="D304" s="391"/>
      <c r="E304" s="391"/>
      <c r="F304" s="391"/>
      <c r="G304" s="391"/>
    </row>
    <row r="305" spans="1:7" s="496" customFormat="1" ht="12.75">
      <c r="A305" s="495"/>
      <c r="B305" s="391"/>
      <c r="C305" s="391"/>
      <c r="D305" s="391"/>
      <c r="E305" s="391"/>
      <c r="F305" s="391"/>
      <c r="G305" s="391"/>
    </row>
    <row r="306" spans="1:7" s="496" customFormat="1" ht="12.75">
      <c r="A306" s="495"/>
      <c r="B306" s="391"/>
      <c r="C306" s="391"/>
      <c r="D306" s="391"/>
      <c r="E306" s="391"/>
      <c r="F306" s="391"/>
      <c r="G306" s="391"/>
    </row>
    <row r="307" spans="1:7" s="496" customFormat="1" ht="12.75">
      <c r="A307" s="495"/>
      <c r="B307" s="391"/>
      <c r="C307" s="391"/>
      <c r="D307" s="391"/>
      <c r="E307" s="391"/>
      <c r="F307" s="391"/>
      <c r="G307" s="391"/>
    </row>
    <row r="308" spans="1:7" s="496" customFormat="1" ht="12.75">
      <c r="A308" s="495"/>
      <c r="B308" s="391"/>
      <c r="C308" s="391"/>
      <c r="D308" s="391"/>
      <c r="E308" s="391"/>
      <c r="F308" s="391"/>
      <c r="G308" s="391"/>
    </row>
    <row r="309" spans="1:7" s="496" customFormat="1" ht="12.75">
      <c r="A309" s="495"/>
      <c r="B309" s="391"/>
      <c r="C309" s="391"/>
      <c r="D309" s="391"/>
      <c r="E309" s="391"/>
      <c r="F309" s="391"/>
      <c r="G309" s="391"/>
    </row>
    <row r="310" spans="1:7" s="496" customFormat="1" ht="12.75">
      <c r="A310" s="495"/>
      <c r="B310" s="391"/>
      <c r="C310" s="391"/>
      <c r="D310" s="391"/>
      <c r="E310" s="391"/>
      <c r="F310" s="391"/>
      <c r="G310" s="391"/>
    </row>
    <row r="311" spans="1:7" s="496" customFormat="1" ht="12.75">
      <c r="A311" s="495"/>
      <c r="B311" s="391"/>
      <c r="C311" s="391"/>
      <c r="D311" s="391"/>
      <c r="E311" s="391"/>
      <c r="F311" s="391"/>
      <c r="G311" s="391"/>
    </row>
    <row r="312" spans="1:7" s="496" customFormat="1" ht="12.75">
      <c r="A312" s="495"/>
      <c r="B312" s="391"/>
      <c r="C312" s="391"/>
      <c r="D312" s="391"/>
      <c r="E312" s="391"/>
      <c r="F312" s="391"/>
      <c r="G312" s="391"/>
    </row>
    <row r="313" spans="1:7" s="496" customFormat="1" ht="12.75">
      <c r="A313" s="495"/>
      <c r="B313" s="391"/>
      <c r="C313" s="391"/>
      <c r="D313" s="391"/>
      <c r="E313" s="391"/>
      <c r="F313" s="391"/>
      <c r="G313" s="391"/>
    </row>
    <row r="314" spans="1:7" s="496" customFormat="1" ht="12.75">
      <c r="A314" s="495"/>
      <c r="B314" s="391"/>
      <c r="C314" s="391"/>
      <c r="D314" s="391"/>
      <c r="E314" s="391"/>
      <c r="F314" s="391"/>
      <c r="G314" s="391"/>
    </row>
    <row r="315" spans="1:7" s="496" customFormat="1" ht="12.75">
      <c r="A315" s="495"/>
      <c r="B315" s="391"/>
      <c r="C315" s="391"/>
      <c r="D315" s="391"/>
      <c r="E315" s="391"/>
      <c r="F315" s="391"/>
      <c r="G315" s="391"/>
    </row>
    <row r="316" spans="1:7" s="496" customFormat="1" ht="12.75">
      <c r="A316" s="495"/>
      <c r="B316" s="391"/>
      <c r="C316" s="391"/>
      <c r="D316" s="391"/>
      <c r="E316" s="391"/>
      <c r="F316" s="391"/>
      <c r="G316" s="391"/>
    </row>
    <row r="317" spans="1:7" s="496" customFormat="1" ht="12.75">
      <c r="A317" s="495"/>
      <c r="B317" s="391"/>
      <c r="C317" s="391"/>
      <c r="D317" s="391"/>
      <c r="E317" s="391"/>
      <c r="F317" s="391"/>
      <c r="G317" s="391"/>
    </row>
    <row r="318" spans="1:7" s="496" customFormat="1" ht="12.75">
      <c r="A318" s="495"/>
      <c r="B318" s="391"/>
      <c r="C318" s="391"/>
      <c r="D318" s="391"/>
      <c r="E318" s="391"/>
      <c r="F318" s="391"/>
      <c r="G318" s="391"/>
    </row>
    <row r="319" spans="1:7" s="496" customFormat="1" ht="12.75">
      <c r="A319" s="495"/>
      <c r="B319" s="391"/>
      <c r="C319" s="391"/>
      <c r="D319" s="391"/>
      <c r="E319" s="391"/>
      <c r="F319" s="391"/>
      <c r="G319" s="391"/>
    </row>
    <row r="320" spans="1:7" s="496" customFormat="1" ht="12.75">
      <c r="A320" s="495"/>
      <c r="B320" s="391"/>
      <c r="C320" s="391"/>
      <c r="D320" s="391"/>
      <c r="E320" s="391"/>
      <c r="F320" s="391"/>
      <c r="G320" s="391"/>
    </row>
    <row r="321" spans="1:7" s="496" customFormat="1" ht="12.75">
      <c r="A321" s="495"/>
      <c r="B321" s="391"/>
      <c r="C321" s="391"/>
      <c r="D321" s="391"/>
      <c r="E321" s="391"/>
      <c r="F321" s="391"/>
      <c r="G321" s="391"/>
    </row>
    <row r="322" spans="1:7" s="496" customFormat="1" ht="12.75">
      <c r="A322" s="495"/>
      <c r="B322" s="391"/>
      <c r="C322" s="391"/>
      <c r="D322" s="391"/>
      <c r="E322" s="391"/>
      <c r="F322" s="391"/>
      <c r="G322" s="391"/>
    </row>
    <row r="323" spans="1:7" s="496" customFormat="1" ht="12.75">
      <c r="A323" s="495"/>
      <c r="B323" s="391"/>
      <c r="C323" s="391"/>
      <c r="D323" s="391"/>
      <c r="E323" s="391"/>
      <c r="F323" s="391"/>
      <c r="G323" s="391"/>
    </row>
    <row r="324" spans="1:7" s="496" customFormat="1" ht="12.75">
      <c r="A324" s="495"/>
      <c r="B324" s="391"/>
      <c r="C324" s="391"/>
      <c r="D324" s="391"/>
      <c r="E324" s="391"/>
      <c r="F324" s="391"/>
      <c r="G324" s="391"/>
    </row>
    <row r="325" spans="1:7" s="496" customFormat="1" ht="12.75">
      <c r="A325" s="495"/>
      <c r="B325" s="391"/>
      <c r="C325" s="391"/>
      <c r="D325" s="391"/>
      <c r="E325" s="391"/>
      <c r="F325" s="391"/>
      <c r="G325" s="391"/>
    </row>
    <row r="326" spans="1:7" s="496" customFormat="1" ht="12.75">
      <c r="A326" s="495"/>
      <c r="B326" s="391"/>
      <c r="C326" s="391"/>
      <c r="D326" s="391"/>
      <c r="E326" s="391"/>
      <c r="F326" s="391"/>
      <c r="G326" s="391"/>
    </row>
    <row r="327" spans="1:7" s="496" customFormat="1" ht="12.75">
      <c r="A327" s="495"/>
      <c r="B327" s="391"/>
      <c r="C327" s="391"/>
      <c r="D327" s="391"/>
      <c r="E327" s="365"/>
      <c r="F327" s="365"/>
      <c r="G327" s="391"/>
    </row>
    <row r="328" spans="1:7" s="496" customFormat="1" ht="12.75">
      <c r="A328" s="495"/>
      <c r="B328" s="365"/>
      <c r="C328" s="365"/>
      <c r="D328" s="391"/>
      <c r="E328" s="365"/>
      <c r="F328" s="365"/>
      <c r="G328" s="391"/>
    </row>
    <row r="329" spans="1:7" s="496" customFormat="1" ht="12.75">
      <c r="A329" s="495"/>
      <c r="B329" s="365"/>
      <c r="C329" s="365"/>
      <c r="D329" s="391"/>
      <c r="E329" s="365"/>
      <c r="F329" s="365"/>
      <c r="G329" s="391"/>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09:F109"/>
    <mergeCell ref="B145:F145"/>
    <mergeCell ref="B127:F127"/>
    <mergeCell ref="B130:F130"/>
    <mergeCell ref="B133:F133"/>
    <mergeCell ref="B136:F136"/>
    <mergeCell ref="B139:F139"/>
    <mergeCell ref="B142:F142"/>
    <mergeCell ref="B115:F115"/>
    <mergeCell ref="B118:F118"/>
    <mergeCell ref="B91:F91"/>
    <mergeCell ref="B94:F94"/>
    <mergeCell ref="B97:F97"/>
    <mergeCell ref="B100:F100"/>
    <mergeCell ref="B103:F103"/>
    <mergeCell ref="B106:F106"/>
    <mergeCell ref="E12:G12"/>
    <mergeCell ref="F23:G23"/>
    <mergeCell ref="D15:G15"/>
    <mergeCell ref="B53:F53"/>
    <mergeCell ref="B56:F56"/>
    <mergeCell ref="B59:F59"/>
    <mergeCell ref="B16:G16"/>
    <mergeCell ref="D26:E26"/>
    <mergeCell ref="F25:G25"/>
    <mergeCell ref="D25:E25"/>
    <mergeCell ref="C2:F2"/>
    <mergeCell ref="E8:G8"/>
    <mergeCell ref="E9:G9"/>
    <mergeCell ref="E10:G10"/>
    <mergeCell ref="B6:G6"/>
    <mergeCell ref="E11:G11"/>
    <mergeCell ref="B3:G3"/>
    <mergeCell ref="B174:G174"/>
    <mergeCell ref="B175:G179"/>
    <mergeCell ref="B124:F124"/>
    <mergeCell ref="B44:E44"/>
    <mergeCell ref="B62:F62"/>
    <mergeCell ref="B82:F82"/>
    <mergeCell ref="B85:F85"/>
    <mergeCell ref="B112:F112"/>
    <mergeCell ref="B121:F121"/>
    <mergeCell ref="B88:F88"/>
    <mergeCell ref="B26:C26"/>
    <mergeCell ref="B185:G185"/>
    <mergeCell ref="B48:E48"/>
    <mergeCell ref="B41:G41"/>
    <mergeCell ref="B46:E46"/>
    <mergeCell ref="B50:E50"/>
    <mergeCell ref="B30:G30"/>
    <mergeCell ref="F26:G26"/>
    <mergeCell ref="B182:G182"/>
    <mergeCell ref="B180:G180"/>
    <mergeCell ref="F19:G19"/>
    <mergeCell ref="B22:C22"/>
    <mergeCell ref="D22:E22"/>
    <mergeCell ref="D19:E19"/>
    <mergeCell ref="F22:G22"/>
    <mergeCell ref="B19:C19"/>
    <mergeCell ref="B23:C23"/>
    <mergeCell ref="B36:G36"/>
    <mergeCell ref="B39:C39"/>
    <mergeCell ref="B33:C33"/>
    <mergeCell ref="B34:C34"/>
    <mergeCell ref="D23:E23"/>
    <mergeCell ref="F24:G24"/>
    <mergeCell ref="B25:C25"/>
    <mergeCell ref="B24:C24"/>
    <mergeCell ref="D24:E24"/>
  </mergeCells>
  <dataValidations count="1">
    <dataValidation type="whole" allowBlank="1" showInputMessage="1" showErrorMessage="1" errorTitle="ATTENZIONE" error="INSERIRE SOLO VALORI NUMERICI INTERI" sqref="G88 G118 G115 G112 G109 G106 G103 G56 G127 G97 G82 G53 G62 G59 G100 G94 G91 G121 G124 G133 G130 G142 G136 G139 G85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3.66015625" style="60" customWidth="1"/>
    <col min="2" max="2" width="10.5" style="62" customWidth="1"/>
    <col min="3" max="22" width="8.33203125" style="60" customWidth="1"/>
    <col min="23" max="23" width="10" style="60" customWidth="1"/>
    <col min="24" max="24" width="10.66015625" style="60" customWidth="1"/>
    <col min="25" max="25" width="0" style="60" hidden="1" customWidth="1"/>
    <col min="26" max="16384" width="10.66015625" style="60" customWidth="1"/>
  </cols>
  <sheetData>
    <row r="1" spans="1:24" s="5" customFormat="1" ht="43.5"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X1" s="308"/>
    </row>
    <row r="2" spans="1:24" ht="30" customHeight="1" thickBot="1">
      <c r="A2" s="61"/>
      <c r="P2" s="1046"/>
      <c r="Q2" s="1046"/>
      <c r="R2" s="1046"/>
      <c r="S2" s="1046"/>
      <c r="T2" s="1046"/>
      <c r="U2" s="1046"/>
      <c r="V2" s="1046"/>
      <c r="W2" s="1046"/>
      <c r="X2" s="1046"/>
    </row>
    <row r="3" spans="1:24" ht="16.5" customHeight="1" thickBot="1">
      <c r="A3" s="63"/>
      <c r="B3" s="64"/>
      <c r="C3" s="65" t="s">
        <v>252</v>
      </c>
      <c r="D3" s="66"/>
      <c r="E3" s="66"/>
      <c r="F3" s="66"/>
      <c r="G3" s="66"/>
      <c r="H3" s="66"/>
      <c r="I3" s="66"/>
      <c r="J3" s="66"/>
      <c r="K3" s="66"/>
      <c r="L3" s="66"/>
      <c r="M3" s="66"/>
      <c r="N3" s="66"/>
      <c r="O3" s="66"/>
      <c r="P3" s="66"/>
      <c r="Q3" s="66"/>
      <c r="R3" s="66"/>
      <c r="S3" s="66"/>
      <c r="T3" s="67"/>
      <c r="U3" s="66"/>
      <c r="V3" s="67"/>
      <c r="W3" s="66"/>
      <c r="X3" s="67"/>
    </row>
    <row r="4" spans="1:24" ht="16.5" customHeight="1" thickTop="1">
      <c r="A4" s="274" t="s">
        <v>152</v>
      </c>
      <c r="B4" s="68" t="s">
        <v>73</v>
      </c>
      <c r="C4" s="1075" t="s">
        <v>93</v>
      </c>
      <c r="D4" s="1076"/>
      <c r="E4" s="1075" t="s">
        <v>94</v>
      </c>
      <c r="F4" s="1076"/>
      <c r="G4" s="1075" t="s">
        <v>95</v>
      </c>
      <c r="H4" s="1076"/>
      <c r="I4" s="1075" t="s">
        <v>96</v>
      </c>
      <c r="J4" s="1076"/>
      <c r="K4" s="1075" t="s">
        <v>97</v>
      </c>
      <c r="L4" s="1076"/>
      <c r="M4" s="1075" t="s">
        <v>98</v>
      </c>
      <c r="N4" s="1076"/>
      <c r="O4" s="1075" t="s">
        <v>99</v>
      </c>
      <c r="P4" s="1076"/>
      <c r="Q4" s="1075" t="s">
        <v>100</v>
      </c>
      <c r="R4" s="1076"/>
      <c r="S4" s="1075" t="s">
        <v>395</v>
      </c>
      <c r="T4" s="1076"/>
      <c r="U4" s="1075" t="s">
        <v>396</v>
      </c>
      <c r="V4" s="1076"/>
      <c r="W4" s="69" t="s">
        <v>76</v>
      </c>
      <c r="X4" s="140"/>
    </row>
    <row r="5" spans="1:24" ht="12" thickBot="1">
      <c r="A5" s="865" t="s">
        <v>533</v>
      </c>
      <c r="B5" s="70"/>
      <c r="C5" s="71" t="s">
        <v>91</v>
      </c>
      <c r="D5" s="72" t="s">
        <v>92</v>
      </c>
      <c r="E5" s="71" t="s">
        <v>91</v>
      </c>
      <c r="F5" s="72" t="s">
        <v>92</v>
      </c>
      <c r="G5" s="71" t="s">
        <v>91</v>
      </c>
      <c r="H5" s="72" t="s">
        <v>92</v>
      </c>
      <c r="I5" s="71" t="s">
        <v>91</v>
      </c>
      <c r="J5" s="72" t="s">
        <v>92</v>
      </c>
      <c r="K5" s="71" t="s">
        <v>91</v>
      </c>
      <c r="L5" s="72" t="s">
        <v>92</v>
      </c>
      <c r="M5" s="71" t="s">
        <v>91</v>
      </c>
      <c r="N5" s="72" t="s">
        <v>92</v>
      </c>
      <c r="O5" s="71" t="s">
        <v>91</v>
      </c>
      <c r="P5" s="72" t="s">
        <v>92</v>
      </c>
      <c r="Q5" s="71" t="s">
        <v>91</v>
      </c>
      <c r="R5" s="72" t="s">
        <v>92</v>
      </c>
      <c r="S5" s="71" t="s">
        <v>91</v>
      </c>
      <c r="T5" s="73" t="s">
        <v>92</v>
      </c>
      <c r="U5" s="71" t="s">
        <v>91</v>
      </c>
      <c r="V5" s="73" t="s">
        <v>92</v>
      </c>
      <c r="W5" s="71" t="s">
        <v>91</v>
      </c>
      <c r="X5" s="73" t="s">
        <v>92</v>
      </c>
    </row>
    <row r="6" spans="1:25" ht="12.75" customHeight="1" thickTop="1">
      <c r="A6" s="24" t="str">
        <f>'t1'!A6</f>
        <v>PERSONALE DIRIGENTE</v>
      </c>
      <c r="B6" s="234" t="str">
        <f>'t1'!B6</f>
        <v>0D00NF</v>
      </c>
      <c r="C6" s="238"/>
      <c r="D6" s="239"/>
      <c r="E6" s="238"/>
      <c r="F6" s="239"/>
      <c r="G6" s="238"/>
      <c r="H6" s="239"/>
      <c r="I6" s="238"/>
      <c r="J6" s="239"/>
      <c r="K6" s="238"/>
      <c r="L6" s="239"/>
      <c r="M6" s="240"/>
      <c r="N6" s="241"/>
      <c r="O6" s="238"/>
      <c r="P6" s="239"/>
      <c r="Q6" s="238"/>
      <c r="R6" s="239"/>
      <c r="S6" s="242"/>
      <c r="T6" s="243"/>
      <c r="U6" s="242"/>
      <c r="V6" s="243"/>
      <c r="W6" s="445">
        <f aca="true" t="shared" si="0" ref="W6:X8">SUM(C6,E6,G6,I6,K6,M6,O6,Q6,S6,U6)</f>
        <v>0</v>
      </c>
      <c r="X6" s="446">
        <f t="shared" si="0"/>
        <v>0</v>
      </c>
      <c r="Y6" s="60">
        <f>'t1'!M6</f>
        <v>0</v>
      </c>
    </row>
    <row r="7" spans="1:25" ht="12.75" customHeight="1">
      <c r="A7" s="156" t="str">
        <f>'t1'!A7</f>
        <v>PERSONALE NON DIRIGENTE</v>
      </c>
      <c r="B7" s="227" t="str">
        <f>'t1'!B7</f>
        <v>0000ND</v>
      </c>
      <c r="C7" s="238"/>
      <c r="D7" s="239"/>
      <c r="E7" s="238"/>
      <c r="F7" s="239"/>
      <c r="G7" s="238"/>
      <c r="H7" s="239"/>
      <c r="I7" s="238"/>
      <c r="J7" s="239"/>
      <c r="K7" s="238"/>
      <c r="L7" s="239"/>
      <c r="M7" s="240"/>
      <c r="N7" s="241"/>
      <c r="O7" s="238"/>
      <c r="P7" s="239"/>
      <c r="Q7" s="238"/>
      <c r="R7" s="239"/>
      <c r="S7" s="242"/>
      <c r="T7" s="244"/>
      <c r="U7" s="242"/>
      <c r="V7" s="244"/>
      <c r="W7" s="445">
        <f t="shared" si="0"/>
        <v>0</v>
      </c>
      <c r="X7" s="447">
        <f t="shared" si="0"/>
        <v>0</v>
      </c>
      <c r="Y7" s="60">
        <f>'t1'!M7</f>
        <v>0</v>
      </c>
    </row>
    <row r="8" spans="1:25" ht="12.75" customHeight="1" thickBot="1">
      <c r="A8" s="156" t="str">
        <f>'t1'!A8</f>
        <v>CONTRATTISTI (a)</v>
      </c>
      <c r="B8" s="227" t="str">
        <f>'t1'!B8</f>
        <v>000061</v>
      </c>
      <c r="C8" s="238"/>
      <c r="D8" s="239"/>
      <c r="E8" s="238"/>
      <c r="F8" s="239"/>
      <c r="G8" s="238"/>
      <c r="H8" s="239"/>
      <c r="I8" s="238"/>
      <c r="J8" s="239"/>
      <c r="K8" s="238"/>
      <c r="L8" s="239"/>
      <c r="M8" s="240"/>
      <c r="N8" s="241"/>
      <c r="O8" s="238"/>
      <c r="P8" s="239"/>
      <c r="Q8" s="238"/>
      <c r="R8" s="239"/>
      <c r="S8" s="242"/>
      <c r="T8" s="244"/>
      <c r="U8" s="242"/>
      <c r="V8" s="244"/>
      <c r="W8" s="445">
        <f t="shared" si="0"/>
        <v>0</v>
      </c>
      <c r="X8" s="447">
        <f t="shared" si="0"/>
        <v>0</v>
      </c>
      <c r="Y8" s="60">
        <f>'t1'!M8</f>
        <v>0</v>
      </c>
    </row>
    <row r="9" spans="1:24" ht="17.25" customHeight="1" thickBot="1" thickTop="1">
      <c r="A9" s="74" t="s">
        <v>76</v>
      </c>
      <c r="B9" s="75"/>
      <c r="C9" s="442">
        <f aca="true" t="shared" si="1" ref="C9:X9">SUM(C6:C8)</f>
        <v>0</v>
      </c>
      <c r="D9" s="443">
        <f t="shared" si="1"/>
        <v>0</v>
      </c>
      <c r="E9" s="442">
        <f t="shared" si="1"/>
        <v>0</v>
      </c>
      <c r="F9" s="443">
        <f t="shared" si="1"/>
        <v>0</v>
      </c>
      <c r="G9" s="442">
        <f t="shared" si="1"/>
        <v>0</v>
      </c>
      <c r="H9" s="443">
        <f t="shared" si="1"/>
        <v>0</v>
      </c>
      <c r="I9" s="442">
        <f t="shared" si="1"/>
        <v>0</v>
      </c>
      <c r="J9" s="443">
        <f t="shared" si="1"/>
        <v>0</v>
      </c>
      <c r="K9" s="442">
        <f t="shared" si="1"/>
        <v>0</v>
      </c>
      <c r="L9" s="443">
        <f t="shared" si="1"/>
        <v>0</v>
      </c>
      <c r="M9" s="442">
        <f t="shared" si="1"/>
        <v>0</v>
      </c>
      <c r="N9" s="443">
        <f t="shared" si="1"/>
        <v>0</v>
      </c>
      <c r="O9" s="442">
        <f t="shared" si="1"/>
        <v>0</v>
      </c>
      <c r="P9" s="443">
        <f t="shared" si="1"/>
        <v>0</v>
      </c>
      <c r="Q9" s="442">
        <f t="shared" si="1"/>
        <v>0</v>
      </c>
      <c r="R9" s="443">
        <f t="shared" si="1"/>
        <v>0</v>
      </c>
      <c r="S9" s="442">
        <f t="shared" si="1"/>
        <v>0</v>
      </c>
      <c r="T9" s="443">
        <f t="shared" si="1"/>
        <v>0</v>
      </c>
      <c r="U9" s="442">
        <f t="shared" si="1"/>
        <v>0</v>
      </c>
      <c r="V9" s="443">
        <f t="shared" si="1"/>
        <v>0</v>
      </c>
      <c r="W9" s="442">
        <f t="shared" si="1"/>
        <v>0</v>
      </c>
      <c r="X9" s="444">
        <f t="shared" si="1"/>
        <v>0</v>
      </c>
    </row>
    <row r="10" spans="1:11" s="45" customFormat="1" ht="19.5" customHeight="1">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80"/>
    </row>
    <row r="11" spans="1:2" s="5" customFormat="1" ht="11.25">
      <c r="A11" s="25"/>
      <c r="B11"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8">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12"/>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6.83203125" style="45" customWidth="1"/>
    <col min="2" max="2" width="8.16015625" style="47" bestFit="1" customWidth="1"/>
    <col min="3" max="4" width="6.66015625" style="45" customWidth="1"/>
    <col min="5" max="24" width="8" style="45" customWidth="1"/>
    <col min="25" max="26" width="6.5" style="45" customWidth="1"/>
    <col min="27" max="28" width="8.16015625" style="45" customWidth="1"/>
    <col min="29" max="29" width="0" style="45" hidden="1" customWidth="1"/>
    <col min="30" max="16384" width="10.66015625" style="45" customWidth="1"/>
  </cols>
  <sheetData>
    <row r="1" spans="1:28" s="5" customFormat="1" ht="43.5"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AB1" s="308"/>
    </row>
    <row r="2" spans="1:28" ht="30" customHeight="1" thickBot="1">
      <c r="A2" s="46"/>
      <c r="S2" s="1046"/>
      <c r="T2" s="1046"/>
      <c r="U2" s="1046"/>
      <c r="V2" s="1046"/>
      <c r="W2" s="1046"/>
      <c r="X2" s="1046"/>
      <c r="Y2" s="1046"/>
      <c r="Z2" s="1046"/>
      <c r="AA2" s="1046"/>
      <c r="AB2" s="1046"/>
    </row>
    <row r="3" spans="1:28" ht="16.5" customHeight="1" thickBot="1">
      <c r="A3" s="48"/>
      <c r="B3" s="49"/>
      <c r="C3" s="50" t="s">
        <v>253</v>
      </c>
      <c r="D3" s="51"/>
      <c r="E3" s="51"/>
      <c r="F3" s="51"/>
      <c r="G3" s="51"/>
      <c r="H3" s="51"/>
      <c r="I3" s="51"/>
      <c r="J3" s="51"/>
      <c r="K3" s="51"/>
      <c r="L3" s="51"/>
      <c r="M3" s="51"/>
      <c r="N3" s="51"/>
      <c r="O3" s="51"/>
      <c r="P3" s="51"/>
      <c r="Q3" s="51"/>
      <c r="R3" s="51"/>
      <c r="S3" s="51"/>
      <c r="T3" s="51"/>
      <c r="U3" s="51"/>
      <c r="V3" s="51"/>
      <c r="W3" s="51"/>
      <c r="X3" s="52"/>
      <c r="Y3" s="51"/>
      <c r="Z3" s="52"/>
      <c r="AA3" s="51"/>
      <c r="AB3" s="52"/>
    </row>
    <row r="4" spans="1:28" ht="16.5" customHeight="1" thickTop="1">
      <c r="A4" s="273" t="s">
        <v>145</v>
      </c>
      <c r="B4" s="53" t="s">
        <v>73</v>
      </c>
      <c r="C4" s="1077" t="s">
        <v>179</v>
      </c>
      <c r="D4" s="1078"/>
      <c r="E4" s="168" t="s">
        <v>180</v>
      </c>
      <c r="F4" s="167"/>
      <c r="G4" s="1077" t="s">
        <v>83</v>
      </c>
      <c r="H4" s="1078"/>
      <c r="I4" s="1077" t="s">
        <v>84</v>
      </c>
      <c r="J4" s="1078"/>
      <c r="K4" s="1077" t="s">
        <v>85</v>
      </c>
      <c r="L4" s="1078"/>
      <c r="M4" s="1077" t="s">
        <v>86</v>
      </c>
      <c r="N4" s="1078"/>
      <c r="O4" s="1077" t="s">
        <v>87</v>
      </c>
      <c r="P4" s="1078"/>
      <c r="Q4" s="1077" t="s">
        <v>88</v>
      </c>
      <c r="R4" s="1078"/>
      <c r="S4" s="1077" t="s">
        <v>89</v>
      </c>
      <c r="T4" s="1078"/>
      <c r="U4" s="1077" t="s">
        <v>90</v>
      </c>
      <c r="V4" s="1078"/>
      <c r="W4" s="1077" t="s">
        <v>397</v>
      </c>
      <c r="X4" s="1078"/>
      <c r="Y4" s="1077" t="s">
        <v>398</v>
      </c>
      <c r="Z4" s="1079"/>
      <c r="AA4" s="1077" t="s">
        <v>76</v>
      </c>
      <c r="AB4" s="1079"/>
    </row>
    <row r="5" spans="1:28" ht="12" thickBot="1">
      <c r="A5" s="866" t="s">
        <v>533</v>
      </c>
      <c r="B5" s="54"/>
      <c r="C5" s="55" t="s">
        <v>91</v>
      </c>
      <c r="D5" s="56" t="s">
        <v>92</v>
      </c>
      <c r="E5" s="55" t="s">
        <v>91</v>
      </c>
      <c r="F5" s="56" t="s">
        <v>92</v>
      </c>
      <c r="G5" s="55" t="s">
        <v>91</v>
      </c>
      <c r="H5" s="56" t="s">
        <v>92</v>
      </c>
      <c r="I5" s="55" t="s">
        <v>91</v>
      </c>
      <c r="J5" s="56" t="s">
        <v>92</v>
      </c>
      <c r="K5" s="55" t="s">
        <v>91</v>
      </c>
      <c r="L5" s="56" t="s">
        <v>92</v>
      </c>
      <c r="M5" s="55" t="s">
        <v>91</v>
      </c>
      <c r="N5" s="56" t="s">
        <v>92</v>
      </c>
      <c r="O5" s="55" t="s">
        <v>91</v>
      </c>
      <c r="P5" s="56" t="s">
        <v>92</v>
      </c>
      <c r="Q5" s="55" t="s">
        <v>91</v>
      </c>
      <c r="R5" s="56" t="s">
        <v>92</v>
      </c>
      <c r="S5" s="55" t="s">
        <v>91</v>
      </c>
      <c r="T5" s="56" t="s">
        <v>92</v>
      </c>
      <c r="U5" s="55" t="s">
        <v>91</v>
      </c>
      <c r="V5" s="56" t="s">
        <v>92</v>
      </c>
      <c r="W5" s="55" t="s">
        <v>91</v>
      </c>
      <c r="X5" s="57" t="s">
        <v>92</v>
      </c>
      <c r="Y5" s="55" t="s">
        <v>91</v>
      </c>
      <c r="Z5" s="57" t="s">
        <v>92</v>
      </c>
      <c r="AA5" s="55" t="s">
        <v>91</v>
      </c>
      <c r="AB5" s="57" t="s">
        <v>92</v>
      </c>
    </row>
    <row r="6" spans="1:29" ht="13.5" customHeight="1" thickTop="1">
      <c r="A6" s="24" t="str">
        <f>'t1'!A6</f>
        <v>PERSONALE DIRIGENTE</v>
      </c>
      <c r="B6" s="234" t="str">
        <f>'t1'!B6</f>
        <v>0D00NF</v>
      </c>
      <c r="C6" s="252"/>
      <c r="D6" s="253"/>
      <c r="E6" s="254"/>
      <c r="F6" s="253"/>
      <c r="G6" s="252"/>
      <c r="H6" s="253"/>
      <c r="I6" s="252"/>
      <c r="J6" s="253"/>
      <c r="K6" s="252"/>
      <c r="L6" s="253"/>
      <c r="M6" s="252"/>
      <c r="N6" s="253"/>
      <c r="O6" s="254"/>
      <c r="P6" s="255"/>
      <c r="Q6" s="252"/>
      <c r="R6" s="253"/>
      <c r="S6" s="252"/>
      <c r="T6" s="253"/>
      <c r="U6" s="252"/>
      <c r="V6" s="253"/>
      <c r="W6" s="256"/>
      <c r="X6" s="257"/>
      <c r="Y6" s="256"/>
      <c r="Z6" s="257"/>
      <c r="AA6" s="448">
        <f aca="true" t="shared" si="0" ref="AA6:AB8">SUM(C6,E6,G6,I6,K6,M6,O6,Q6,S6,U6,W6,Y6)</f>
        <v>0</v>
      </c>
      <c r="AB6" s="449">
        <f t="shared" si="0"/>
        <v>0</v>
      </c>
      <c r="AC6" s="45">
        <f>'t1'!M6</f>
        <v>0</v>
      </c>
    </row>
    <row r="7" spans="1:29" ht="13.5" customHeight="1">
      <c r="A7" s="156" t="str">
        <f>'t1'!A7</f>
        <v>PERSONALE NON DIRIGENTE</v>
      </c>
      <c r="B7" s="227" t="str">
        <f>'t1'!B7</f>
        <v>0000ND</v>
      </c>
      <c r="C7" s="252"/>
      <c r="D7" s="253"/>
      <c r="E7" s="254"/>
      <c r="F7" s="253"/>
      <c r="G7" s="252"/>
      <c r="H7" s="253"/>
      <c r="I7" s="252"/>
      <c r="J7" s="253"/>
      <c r="K7" s="252"/>
      <c r="L7" s="253"/>
      <c r="M7" s="252"/>
      <c r="N7" s="253"/>
      <c r="O7" s="254"/>
      <c r="P7" s="255"/>
      <c r="Q7" s="252"/>
      <c r="R7" s="253"/>
      <c r="S7" s="252"/>
      <c r="T7" s="253"/>
      <c r="U7" s="252"/>
      <c r="V7" s="253"/>
      <c r="W7" s="256"/>
      <c r="X7" s="253"/>
      <c r="Y7" s="256"/>
      <c r="Z7" s="253"/>
      <c r="AA7" s="450">
        <f t="shared" si="0"/>
        <v>0</v>
      </c>
      <c r="AB7" s="451">
        <f t="shared" si="0"/>
        <v>0</v>
      </c>
      <c r="AC7" s="45">
        <f>'t1'!M7</f>
        <v>0</v>
      </c>
    </row>
    <row r="8" spans="1:29" ht="13.5" customHeight="1" thickBot="1">
      <c r="A8" s="156" t="str">
        <f>'t1'!A8</f>
        <v>CONTRATTISTI (a)</v>
      </c>
      <c r="B8" s="227" t="str">
        <f>'t1'!B8</f>
        <v>000061</v>
      </c>
      <c r="C8" s="252"/>
      <c r="D8" s="253"/>
      <c r="E8" s="254"/>
      <c r="F8" s="253"/>
      <c r="G8" s="252"/>
      <c r="H8" s="253"/>
      <c r="I8" s="252"/>
      <c r="J8" s="253"/>
      <c r="K8" s="252"/>
      <c r="L8" s="253"/>
      <c r="M8" s="252"/>
      <c r="N8" s="253"/>
      <c r="O8" s="254"/>
      <c r="P8" s="255"/>
      <c r="Q8" s="252"/>
      <c r="R8" s="253"/>
      <c r="S8" s="252"/>
      <c r="T8" s="253"/>
      <c r="U8" s="252"/>
      <c r="V8" s="253"/>
      <c r="W8" s="256"/>
      <c r="X8" s="253"/>
      <c r="Y8" s="256"/>
      <c r="Z8" s="253"/>
      <c r="AA8" s="450">
        <f t="shared" si="0"/>
        <v>0</v>
      </c>
      <c r="AB8" s="451">
        <f t="shared" si="0"/>
        <v>0</v>
      </c>
      <c r="AC8" s="45">
        <f>'t1'!M8</f>
        <v>0</v>
      </c>
    </row>
    <row r="9" spans="1:28" ht="16.5" customHeight="1" thickBot="1" thickTop="1">
      <c r="A9" s="58" t="s">
        <v>76</v>
      </c>
      <c r="B9" s="59"/>
      <c r="C9" s="452">
        <f aca="true" t="shared" si="1" ref="C9:AB9">SUM(C6:C8)</f>
        <v>0</v>
      </c>
      <c r="D9" s="454">
        <f t="shared" si="1"/>
        <v>0</v>
      </c>
      <c r="E9" s="452">
        <f t="shared" si="1"/>
        <v>0</v>
      </c>
      <c r="F9" s="454">
        <f t="shared" si="1"/>
        <v>0</v>
      </c>
      <c r="G9" s="452">
        <f t="shared" si="1"/>
        <v>0</v>
      </c>
      <c r="H9" s="454">
        <f t="shared" si="1"/>
        <v>0</v>
      </c>
      <c r="I9" s="452">
        <f t="shared" si="1"/>
        <v>0</v>
      </c>
      <c r="J9" s="454">
        <f t="shared" si="1"/>
        <v>0</v>
      </c>
      <c r="K9" s="452">
        <f t="shared" si="1"/>
        <v>0</v>
      </c>
      <c r="L9" s="454">
        <f t="shared" si="1"/>
        <v>0</v>
      </c>
      <c r="M9" s="452">
        <f t="shared" si="1"/>
        <v>0</v>
      </c>
      <c r="N9" s="454">
        <f t="shared" si="1"/>
        <v>0</v>
      </c>
      <c r="O9" s="452">
        <f t="shared" si="1"/>
        <v>0</v>
      </c>
      <c r="P9" s="454">
        <f t="shared" si="1"/>
        <v>0</v>
      </c>
      <c r="Q9" s="452">
        <f t="shared" si="1"/>
        <v>0</v>
      </c>
      <c r="R9" s="454">
        <f t="shared" si="1"/>
        <v>0</v>
      </c>
      <c r="S9" s="452">
        <f t="shared" si="1"/>
        <v>0</v>
      </c>
      <c r="T9" s="454">
        <f t="shared" si="1"/>
        <v>0</v>
      </c>
      <c r="U9" s="452">
        <f t="shared" si="1"/>
        <v>0</v>
      </c>
      <c r="V9" s="454">
        <f t="shared" si="1"/>
        <v>0</v>
      </c>
      <c r="W9" s="452">
        <f t="shared" si="1"/>
        <v>0</v>
      </c>
      <c r="X9" s="454">
        <f t="shared" si="1"/>
        <v>0</v>
      </c>
      <c r="Y9" s="452">
        <f t="shared" si="1"/>
        <v>0</v>
      </c>
      <c r="Z9" s="454">
        <f t="shared" si="1"/>
        <v>0</v>
      </c>
      <c r="AA9" s="452">
        <f t="shared" si="1"/>
        <v>0</v>
      </c>
      <c r="AB9" s="453">
        <f t="shared" si="1"/>
        <v>0</v>
      </c>
    </row>
    <row r="10" spans="1:28" ht="8.25" customHeight="1">
      <c r="A10" s="159"/>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1:13" ht="11.25">
      <c r="A11" s="25" t="str">
        <f>'t1'!$A$10</f>
        <v>(a) personale a tempo indeterminato al quale viene applicato un contratto di lavoro di tipo privatistico (es.:tipografico,chimico,edile,metalmeccanico,portierato, ecc.)</v>
      </c>
      <c r="B11" s="7"/>
      <c r="C11" s="5"/>
      <c r="D11" s="5"/>
      <c r="E11" s="5"/>
      <c r="F11" s="5"/>
      <c r="G11" s="5"/>
      <c r="H11" s="5"/>
      <c r="I11" s="5"/>
      <c r="J11" s="5"/>
      <c r="K11" s="5"/>
      <c r="L11" s="5"/>
      <c r="M11" s="80"/>
    </row>
    <row r="12" spans="1:2" s="5" customFormat="1" ht="11.25">
      <c r="A12" s="25"/>
      <c r="B12" s="7"/>
    </row>
  </sheetData>
  <sheetProtection password="EA98" sheet="1" formatColumns="0" selectLockedCells="1"/>
  <mergeCells count="14">
    <mergeCell ref="A1:Y1"/>
    <mergeCell ref="S2:AB2"/>
    <mergeCell ref="M4:N4"/>
    <mergeCell ref="C4:D4"/>
    <mergeCell ref="G4:H4"/>
    <mergeCell ref="I4:J4"/>
    <mergeCell ref="K4:L4"/>
    <mergeCell ref="O4:P4"/>
    <mergeCell ref="Q4:R4"/>
    <mergeCell ref="S4:T4"/>
    <mergeCell ref="AA4:AB4"/>
    <mergeCell ref="U4:V4"/>
    <mergeCell ref="Y4:Z4"/>
    <mergeCell ref="W4:X4"/>
  </mergeCells>
  <conditionalFormatting sqref="A6:AB8">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3.66015625" style="35" customWidth="1"/>
    <col min="2" max="2" width="7.66015625" style="35" bestFit="1" customWidth="1"/>
    <col min="3" max="16" width="13.66015625" style="35" customWidth="1"/>
    <col min="17" max="17" width="0" style="35" hidden="1" customWidth="1"/>
    <col min="18" max="16384" width="10.66015625" style="35" customWidth="1"/>
  </cols>
  <sheetData>
    <row r="1" spans="1:17" s="5" customFormat="1" ht="43.5" customHeight="1">
      <c r="A1" s="1045" t="str">
        <f>'t1'!A1</f>
        <v>ENTI ART. 60 - anno 2019</v>
      </c>
      <c r="B1" s="1045"/>
      <c r="C1" s="1045"/>
      <c r="D1" s="1045"/>
      <c r="E1" s="1045"/>
      <c r="F1" s="1045"/>
      <c r="G1" s="1045"/>
      <c r="H1" s="1045"/>
      <c r="I1" s="1045"/>
      <c r="J1" s="1045"/>
      <c r="K1" s="1045"/>
      <c r="L1" s="1045"/>
      <c r="M1" s="1045"/>
      <c r="N1" s="1045"/>
      <c r="O1" s="3"/>
      <c r="P1" s="308"/>
      <c r="Q1"/>
    </row>
    <row r="2" spans="1:17" s="5" customFormat="1" ht="5.25" customHeight="1">
      <c r="A2" s="343"/>
      <c r="B2" s="343"/>
      <c r="C2" s="343"/>
      <c r="D2" s="343"/>
      <c r="E2" s="343"/>
      <c r="F2" s="343"/>
      <c r="G2" s="343"/>
      <c r="H2" s="343"/>
      <c r="I2" s="343"/>
      <c r="J2" s="343"/>
      <c r="K2" s="343"/>
      <c r="L2" s="343"/>
      <c r="M2" s="343"/>
      <c r="N2" s="343"/>
      <c r="O2" s="3"/>
      <c r="P2" s="308"/>
      <c r="Q2"/>
    </row>
    <row r="3" spans="13:16" ht="30" customHeight="1" thickBot="1">
      <c r="M3" s="1046"/>
      <c r="N3" s="1046"/>
      <c r="O3" s="1046"/>
      <c r="P3" s="1046"/>
    </row>
    <row r="4" spans="1:16" ht="24.75" customHeight="1">
      <c r="A4" s="272" t="s">
        <v>145</v>
      </c>
      <c r="B4" s="258" t="s">
        <v>73</v>
      </c>
      <c r="C4" s="36" t="s">
        <v>80</v>
      </c>
      <c r="D4" s="37"/>
      <c r="E4" s="36" t="s">
        <v>81</v>
      </c>
      <c r="F4" s="37"/>
      <c r="G4" s="1080" t="s">
        <v>58</v>
      </c>
      <c r="H4" s="1081"/>
      <c r="I4" s="1080" t="s">
        <v>82</v>
      </c>
      <c r="J4" s="1081"/>
      <c r="K4" s="1080" t="s">
        <v>59</v>
      </c>
      <c r="L4" s="1081"/>
      <c r="M4" s="1080" t="s">
        <v>60</v>
      </c>
      <c r="N4" s="1081"/>
      <c r="O4" s="529" t="s">
        <v>76</v>
      </c>
      <c r="P4" s="530"/>
    </row>
    <row r="5" spans="1:16" ht="14.25" customHeight="1" thickBot="1">
      <c r="A5" s="867" t="s">
        <v>533</v>
      </c>
      <c r="B5" s="38"/>
      <c r="C5" s="39" t="s">
        <v>74</v>
      </c>
      <c r="D5" s="40" t="s">
        <v>75</v>
      </c>
      <c r="E5" s="39" t="s">
        <v>74</v>
      </c>
      <c r="F5" s="40" t="s">
        <v>75</v>
      </c>
      <c r="G5" s="39" t="s">
        <v>74</v>
      </c>
      <c r="H5" s="41" t="s">
        <v>75</v>
      </c>
      <c r="I5" s="39" t="s">
        <v>74</v>
      </c>
      <c r="J5" s="41" t="s">
        <v>75</v>
      </c>
      <c r="K5" s="39" t="s">
        <v>74</v>
      </c>
      <c r="L5" s="42" t="s">
        <v>75</v>
      </c>
      <c r="M5" s="39" t="s">
        <v>74</v>
      </c>
      <c r="N5" s="42" t="s">
        <v>75</v>
      </c>
      <c r="O5" s="532" t="s">
        <v>74</v>
      </c>
      <c r="P5" s="533" t="s">
        <v>75</v>
      </c>
    </row>
    <row r="6" spans="1:17" ht="13.5" customHeight="1" thickTop="1">
      <c r="A6" s="24" t="str">
        <f>'t1'!A6</f>
        <v>PERSONALE DIRIGENTE</v>
      </c>
      <c r="B6" s="234" t="str">
        <f>'t1'!B6</f>
        <v>0D00NF</v>
      </c>
      <c r="C6" s="325"/>
      <c r="D6" s="326"/>
      <c r="E6" s="325"/>
      <c r="F6" s="326"/>
      <c r="G6" s="325"/>
      <c r="H6" s="327"/>
      <c r="I6" s="525"/>
      <c r="J6" s="327"/>
      <c r="K6" s="525"/>
      <c r="L6" s="327"/>
      <c r="M6" s="328"/>
      <c r="N6" s="329"/>
      <c r="O6" s="531">
        <f aca="true" t="shared" si="0" ref="O6:P8">SUM(C6,E6,G6,I6,K6,M6)</f>
        <v>0</v>
      </c>
      <c r="P6" s="534">
        <f t="shared" si="0"/>
        <v>0</v>
      </c>
      <c r="Q6" s="35">
        <f>'t1'!M6</f>
        <v>0</v>
      </c>
    </row>
    <row r="7" spans="1:17" ht="13.5" customHeight="1">
      <c r="A7" s="156" t="str">
        <f>'t1'!A7</f>
        <v>PERSONALE NON DIRIGENTE</v>
      </c>
      <c r="B7" s="227" t="str">
        <f>'t1'!B7</f>
        <v>0000ND</v>
      </c>
      <c r="C7" s="330"/>
      <c r="D7" s="331"/>
      <c r="E7" s="330"/>
      <c r="F7" s="331"/>
      <c r="G7" s="330"/>
      <c r="H7" s="332"/>
      <c r="I7" s="526"/>
      <c r="J7" s="332"/>
      <c r="K7" s="526"/>
      <c r="L7" s="332"/>
      <c r="M7" s="333"/>
      <c r="N7" s="334"/>
      <c r="O7" s="455">
        <f t="shared" si="0"/>
        <v>0</v>
      </c>
      <c r="P7" s="456">
        <f t="shared" si="0"/>
        <v>0</v>
      </c>
      <c r="Q7" s="35">
        <f>'t1'!M7</f>
        <v>0</v>
      </c>
    </row>
    <row r="8" spans="1:17" ht="13.5" customHeight="1" thickBot="1">
      <c r="A8" s="156" t="str">
        <f>'t1'!A8</f>
        <v>CONTRATTISTI (a)</v>
      </c>
      <c r="B8" s="227" t="str">
        <f>'t1'!B8</f>
        <v>000061</v>
      </c>
      <c r="C8" s="330"/>
      <c r="D8" s="331"/>
      <c r="E8" s="330"/>
      <c r="F8" s="331"/>
      <c r="G8" s="330"/>
      <c r="H8" s="332"/>
      <c r="I8" s="526"/>
      <c r="J8" s="332"/>
      <c r="K8" s="526"/>
      <c r="L8" s="332"/>
      <c r="M8" s="333"/>
      <c r="N8" s="334"/>
      <c r="O8" s="455">
        <f t="shared" si="0"/>
        <v>0</v>
      </c>
      <c r="P8" s="456">
        <f t="shared" si="0"/>
        <v>0</v>
      </c>
      <c r="Q8" s="35">
        <f>'t1'!M8</f>
        <v>0</v>
      </c>
    </row>
    <row r="9" spans="1:16" ht="12" customHeight="1" thickBot="1" thickTop="1">
      <c r="A9" s="43" t="s">
        <v>76</v>
      </c>
      <c r="B9" s="44"/>
      <c r="C9" s="457">
        <f aca="true" t="shared" si="1" ref="C9:P9">SUM(C6:C8)</f>
        <v>0</v>
      </c>
      <c r="D9" s="458">
        <f t="shared" si="1"/>
        <v>0</v>
      </c>
      <c r="E9" s="457">
        <f t="shared" si="1"/>
        <v>0</v>
      </c>
      <c r="F9" s="458">
        <f t="shared" si="1"/>
        <v>0</v>
      </c>
      <c r="G9" s="457">
        <f t="shared" si="1"/>
        <v>0</v>
      </c>
      <c r="H9" s="458">
        <f t="shared" si="1"/>
        <v>0</v>
      </c>
      <c r="I9" s="527">
        <f t="shared" si="1"/>
        <v>0</v>
      </c>
      <c r="J9" s="458">
        <f t="shared" si="1"/>
        <v>0</v>
      </c>
      <c r="K9" s="527">
        <f t="shared" si="1"/>
        <v>0</v>
      </c>
      <c r="L9" s="458">
        <f t="shared" si="1"/>
        <v>0</v>
      </c>
      <c r="M9" s="528">
        <f t="shared" si="1"/>
        <v>0</v>
      </c>
      <c r="N9" s="458">
        <f t="shared" si="1"/>
        <v>0</v>
      </c>
      <c r="O9" s="457">
        <f t="shared" si="1"/>
        <v>0</v>
      </c>
      <c r="P9" s="458">
        <f t="shared" si="1"/>
        <v>0</v>
      </c>
    </row>
    <row r="10" spans="1:20" ht="18" customHeight="1">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5"/>
      <c r="L10" s="5"/>
      <c r="M10" s="5"/>
      <c r="N10" s="5"/>
      <c r="O10" s="80"/>
      <c r="P10" s="45"/>
      <c r="Q10" s="45"/>
      <c r="R10" s="45"/>
      <c r="S10" s="45"/>
      <c r="T10" s="45"/>
    </row>
    <row r="11" spans="1:2" s="5" customFormat="1" ht="11.25">
      <c r="A11" s="25"/>
      <c r="B11" s="7"/>
    </row>
  </sheetData>
  <sheetProtection password="EA98" sheet="1" formatColumns="0" selectLockedCells="1"/>
  <mergeCells count="6">
    <mergeCell ref="M3:P3"/>
    <mergeCell ref="A1:N1"/>
    <mergeCell ref="G4:H4"/>
    <mergeCell ref="I4:J4"/>
    <mergeCell ref="M4:N4"/>
    <mergeCell ref="K4:L4"/>
  </mergeCells>
  <conditionalFormatting sqref="A6:P8">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2.66015625" style="5" customWidth="1"/>
    <col min="2" max="2" width="8.66015625" style="7" bestFit="1" customWidth="1"/>
    <col min="3" max="26" width="7.83203125" style="5" customWidth="1"/>
    <col min="27" max="48" width="8.5" style="5" customWidth="1"/>
    <col min="49" max="49" width="15.16015625" style="725" bestFit="1" customWidth="1"/>
    <col min="50" max="51" width="8.66015625" style="5" customWidth="1"/>
    <col min="52" max="52" width="0" style="5" hidden="1" customWidth="1"/>
    <col min="53" max="16384" width="9.33203125" style="5" customWidth="1"/>
  </cols>
  <sheetData>
    <row r="1" spans="1:51" ht="43.5" customHeight="1">
      <c r="A1" s="1082" t="s">
        <v>308</v>
      </c>
      <c r="B1" s="2"/>
      <c r="C1" s="1045" t="str">
        <f>'t1'!A1</f>
        <v>ENTI ART. 60 - anno 2019</v>
      </c>
      <c r="D1" s="1045"/>
      <c r="E1" s="1045"/>
      <c r="F1" s="1045"/>
      <c r="G1" s="1045"/>
      <c r="H1" s="1045"/>
      <c r="I1" s="1045"/>
      <c r="J1" s="1045"/>
      <c r="K1" s="1045"/>
      <c r="L1" s="1045"/>
      <c r="M1" s="1045"/>
      <c r="N1" s="1045"/>
      <c r="O1" s="1045"/>
      <c r="P1" s="1045"/>
      <c r="Q1" s="1045"/>
      <c r="R1" s="1045"/>
      <c r="S1" s="1045"/>
      <c r="T1" s="1045"/>
      <c r="U1" s="1045"/>
      <c r="V1" s="1045"/>
      <c r="W1" s="1045"/>
      <c r="Z1" s="308"/>
      <c r="AA1" s="1045" t="str">
        <f>C1</f>
        <v>ENTI ART. 60 - anno 2019</v>
      </c>
      <c r="AB1" s="1045"/>
      <c r="AC1" s="1045"/>
      <c r="AD1" s="1045"/>
      <c r="AE1" s="1045"/>
      <c r="AF1" s="1045"/>
      <c r="AG1" s="1045"/>
      <c r="AH1" s="1045"/>
      <c r="AI1" s="1045"/>
      <c r="AJ1" s="1045"/>
      <c r="AK1" s="1045"/>
      <c r="AL1" s="1045"/>
      <c r="AM1" s="1045"/>
      <c r="AN1" s="1045"/>
      <c r="AO1" s="1045"/>
      <c r="AP1" s="1045"/>
      <c r="AQ1" s="1045"/>
      <c r="AR1" s="1045"/>
      <c r="AS1" s="1045"/>
      <c r="AV1" s="308"/>
      <c r="AY1" s="726"/>
    </row>
    <row r="2" spans="1:48" ht="30" customHeight="1" thickBot="1">
      <c r="A2" s="1083"/>
      <c r="S2" s="1046"/>
      <c r="T2" s="1046"/>
      <c r="U2" s="1046"/>
      <c r="V2" s="1046"/>
      <c r="W2" s="1046"/>
      <c r="X2" s="1046"/>
      <c r="Y2" s="1046"/>
      <c r="Z2" s="1046"/>
      <c r="AO2" s="1046"/>
      <c r="AP2" s="1046"/>
      <c r="AQ2" s="1046"/>
      <c r="AR2" s="1046"/>
      <c r="AS2" s="1046"/>
      <c r="AT2" s="1046"/>
      <c r="AU2" s="1046"/>
      <c r="AV2" s="1046"/>
    </row>
    <row r="3" spans="1:51" ht="12" thickBot="1">
      <c r="A3" s="128"/>
      <c r="B3" s="868" t="s">
        <v>251</v>
      </c>
      <c r="C3" s="129"/>
      <c r="D3" s="130"/>
      <c r="E3" s="130"/>
      <c r="F3" s="130"/>
      <c r="G3" s="130"/>
      <c r="H3" s="130"/>
      <c r="I3" s="130"/>
      <c r="J3" s="130"/>
      <c r="K3" s="130"/>
      <c r="L3" s="130"/>
      <c r="M3" s="130"/>
      <c r="N3" s="130"/>
      <c r="O3" s="130"/>
      <c r="P3" s="130"/>
      <c r="Q3" s="130"/>
      <c r="R3" s="130"/>
      <c r="S3" s="130"/>
      <c r="T3" s="130"/>
      <c r="U3" s="130"/>
      <c r="V3" s="130"/>
      <c r="W3" s="130"/>
      <c r="X3" s="265"/>
      <c r="Y3" s="265"/>
      <c r="Z3" s="131"/>
      <c r="AA3" s="265"/>
      <c r="AB3" s="265"/>
      <c r="AC3" s="265"/>
      <c r="AD3" s="265"/>
      <c r="AE3" s="265"/>
      <c r="AF3" s="265"/>
      <c r="AG3" s="265"/>
      <c r="AH3" s="265"/>
      <c r="AI3" s="265"/>
      <c r="AJ3" s="265"/>
      <c r="AK3" s="265"/>
      <c r="AL3" s="265"/>
      <c r="AM3" s="265"/>
      <c r="AN3" s="265"/>
      <c r="AO3" s="265"/>
      <c r="AP3" s="265"/>
      <c r="AQ3" s="265"/>
      <c r="AR3" s="265"/>
      <c r="AS3" s="265"/>
      <c r="AT3" s="265"/>
      <c r="AU3" s="265"/>
      <c r="AV3" s="266"/>
      <c r="AX3" s="727"/>
      <c r="AY3" s="728"/>
    </row>
    <row r="4" spans="1:51" ht="34.5" thickTop="1">
      <c r="A4" s="26" t="s">
        <v>145</v>
      </c>
      <c r="B4" s="869" t="s">
        <v>113</v>
      </c>
      <c r="C4" s="132" t="s">
        <v>289</v>
      </c>
      <c r="D4" s="133"/>
      <c r="E4" s="134" t="s">
        <v>382</v>
      </c>
      <c r="F4" s="133"/>
      <c r="G4" s="1026" t="s">
        <v>127</v>
      </c>
      <c r="H4" s="1084"/>
      <c r="I4" s="134" t="s">
        <v>128</v>
      </c>
      <c r="J4" s="134"/>
      <c r="K4" s="134" t="s">
        <v>125</v>
      </c>
      <c r="L4" s="134"/>
      <c r="M4" s="134" t="s">
        <v>119</v>
      </c>
      <c r="N4" s="135"/>
      <c r="O4" s="134" t="s">
        <v>290</v>
      </c>
      <c r="P4" s="134"/>
      <c r="Q4" s="134" t="s">
        <v>123</v>
      </c>
      <c r="R4" s="133"/>
      <c r="S4" s="259" t="s">
        <v>118</v>
      </c>
      <c r="T4" s="134"/>
      <c r="U4" s="134" t="s">
        <v>116</v>
      </c>
      <c r="V4" s="137"/>
      <c r="W4" s="134" t="s">
        <v>122</v>
      </c>
      <c r="X4" s="136"/>
      <c r="Y4" s="134" t="s">
        <v>124</v>
      </c>
      <c r="Z4" s="136"/>
      <c r="AA4" s="134" t="s">
        <v>115</v>
      </c>
      <c r="AB4" s="136"/>
      <c r="AC4" s="134" t="s">
        <v>126</v>
      </c>
      <c r="AD4" s="137"/>
      <c r="AE4" s="134" t="s">
        <v>130</v>
      </c>
      <c r="AF4" s="134"/>
      <c r="AG4" s="134" t="s">
        <v>129</v>
      </c>
      <c r="AH4" s="138"/>
      <c r="AI4" s="134" t="s">
        <v>120</v>
      </c>
      <c r="AJ4" s="137"/>
      <c r="AK4" s="134" t="s">
        <v>121</v>
      </c>
      <c r="AL4" s="134"/>
      <c r="AM4" s="134" t="s">
        <v>114</v>
      </c>
      <c r="AN4" s="137"/>
      <c r="AO4" s="134" t="s">
        <v>117</v>
      </c>
      <c r="AP4" s="136"/>
      <c r="AQ4" s="134" t="s">
        <v>291</v>
      </c>
      <c r="AR4" s="136"/>
      <c r="AS4" s="137" t="s">
        <v>292</v>
      </c>
      <c r="AT4" s="132"/>
      <c r="AU4" s="137" t="s">
        <v>76</v>
      </c>
      <c r="AV4" s="138"/>
      <c r="AX4" s="729" t="s">
        <v>465</v>
      </c>
      <c r="AY4" s="730"/>
    </row>
    <row r="5" spans="1:51" s="264" customFormat="1" ht="11.25" thickBot="1">
      <c r="A5" s="872" t="s">
        <v>533</v>
      </c>
      <c r="B5" s="870"/>
      <c r="C5" s="260" t="s">
        <v>74</v>
      </c>
      <c r="D5" s="261" t="s">
        <v>75</v>
      </c>
      <c r="E5" s="260" t="s">
        <v>74</v>
      </c>
      <c r="F5" s="261" t="s">
        <v>75</v>
      </c>
      <c r="G5" s="260" t="s">
        <v>74</v>
      </c>
      <c r="H5" s="261" t="s">
        <v>75</v>
      </c>
      <c r="I5" s="260" t="s">
        <v>74</v>
      </c>
      <c r="J5" s="261" t="s">
        <v>75</v>
      </c>
      <c r="K5" s="260" t="s">
        <v>74</v>
      </c>
      <c r="L5" s="261" t="s">
        <v>75</v>
      </c>
      <c r="M5" s="260" t="s">
        <v>74</v>
      </c>
      <c r="N5" s="262" t="s">
        <v>75</v>
      </c>
      <c r="O5" s="260" t="s">
        <v>74</v>
      </c>
      <c r="P5" s="262" t="s">
        <v>75</v>
      </c>
      <c r="Q5" s="260" t="s">
        <v>74</v>
      </c>
      <c r="R5" s="262" t="s">
        <v>75</v>
      </c>
      <c r="S5" s="260" t="s">
        <v>74</v>
      </c>
      <c r="T5" s="262" t="s">
        <v>75</v>
      </c>
      <c r="U5" s="260" t="s">
        <v>74</v>
      </c>
      <c r="V5" s="262" t="s">
        <v>75</v>
      </c>
      <c r="W5" s="260" t="s">
        <v>74</v>
      </c>
      <c r="X5" s="261" t="s">
        <v>75</v>
      </c>
      <c r="Y5" s="260" t="s">
        <v>74</v>
      </c>
      <c r="Z5" s="261" t="s">
        <v>75</v>
      </c>
      <c r="AA5" s="260" t="s">
        <v>74</v>
      </c>
      <c r="AB5" s="261" t="s">
        <v>75</v>
      </c>
      <c r="AC5" s="260" t="s">
        <v>74</v>
      </c>
      <c r="AD5" s="262" t="s">
        <v>75</v>
      </c>
      <c r="AE5" s="260" t="s">
        <v>74</v>
      </c>
      <c r="AF5" s="262" t="s">
        <v>75</v>
      </c>
      <c r="AG5" s="260" t="s">
        <v>74</v>
      </c>
      <c r="AH5" s="262" t="s">
        <v>75</v>
      </c>
      <c r="AI5" s="260" t="s">
        <v>74</v>
      </c>
      <c r="AJ5" s="262" t="s">
        <v>75</v>
      </c>
      <c r="AK5" s="260" t="s">
        <v>74</v>
      </c>
      <c r="AL5" s="262" t="s">
        <v>75</v>
      </c>
      <c r="AM5" s="260" t="s">
        <v>74</v>
      </c>
      <c r="AN5" s="262" t="s">
        <v>75</v>
      </c>
      <c r="AO5" s="260" t="s">
        <v>74</v>
      </c>
      <c r="AP5" s="261" t="s">
        <v>75</v>
      </c>
      <c r="AQ5" s="260" t="s">
        <v>74</v>
      </c>
      <c r="AR5" s="261" t="s">
        <v>75</v>
      </c>
      <c r="AS5" s="263" t="s">
        <v>74</v>
      </c>
      <c r="AT5" s="261" t="s">
        <v>75</v>
      </c>
      <c r="AU5" s="263" t="s">
        <v>74</v>
      </c>
      <c r="AV5" s="262" t="s">
        <v>75</v>
      </c>
      <c r="AW5" s="731"/>
      <c r="AX5" s="732" t="s">
        <v>74</v>
      </c>
      <c r="AY5" s="733" t="s">
        <v>75</v>
      </c>
    </row>
    <row r="6" spans="1:52" ht="12.75" customHeight="1" thickTop="1">
      <c r="A6" s="24" t="str">
        <f>'t1'!A6</f>
        <v>PERSONALE DIRIGENTE</v>
      </c>
      <c r="B6" s="234" t="str">
        <f>'t1'!B6</f>
        <v>0D00NF</v>
      </c>
      <c r="C6" s="711"/>
      <c r="D6" s="712"/>
      <c r="E6" s="711"/>
      <c r="F6" s="712"/>
      <c r="G6" s="711"/>
      <c r="H6" s="712"/>
      <c r="I6" s="711"/>
      <c r="J6" s="712"/>
      <c r="K6" s="711"/>
      <c r="L6" s="712"/>
      <c r="M6" s="711"/>
      <c r="N6" s="712"/>
      <c r="O6" s="711"/>
      <c r="P6" s="712"/>
      <c r="Q6" s="711"/>
      <c r="R6" s="712"/>
      <c r="S6" s="711"/>
      <c r="T6" s="712"/>
      <c r="U6" s="711"/>
      <c r="V6" s="712"/>
      <c r="W6" s="711"/>
      <c r="X6" s="712"/>
      <c r="Y6" s="711"/>
      <c r="Z6" s="712"/>
      <c r="AA6" s="711"/>
      <c r="AB6" s="712"/>
      <c r="AC6" s="711"/>
      <c r="AD6" s="712"/>
      <c r="AE6" s="711"/>
      <c r="AF6" s="712"/>
      <c r="AG6" s="711"/>
      <c r="AH6" s="712"/>
      <c r="AI6" s="711"/>
      <c r="AJ6" s="712"/>
      <c r="AK6" s="711"/>
      <c r="AL6" s="712"/>
      <c r="AM6" s="711"/>
      <c r="AN6" s="712"/>
      <c r="AO6" s="711"/>
      <c r="AP6" s="712"/>
      <c r="AQ6" s="711"/>
      <c r="AR6" s="712"/>
      <c r="AS6" s="711"/>
      <c r="AT6" s="712"/>
      <c r="AU6" s="459">
        <f>SUM(S6,U6,W6,Y6,C6,E6,G6,I6,K6,M6,O6,Q6,AA6,AC6,AE6,AG6,AI6,AK6,AM6,AO6,AQ6,AS6)</f>
        <v>0</v>
      </c>
      <c r="AV6" s="460">
        <f>SUM(T6,V6,X6,Z6,D6,F6,H6,J6,L6,N6,P6,R6,AB6,AD6,AF6,AH6,AJ6,AL6,AN6,AP6,AR6,AT6)</f>
        <v>0</v>
      </c>
      <c r="AW6" s="734" t="str">
        <f>IF((AU6+AV6)=(AX6+AY6),"OK","Controllare totale")</f>
        <v>OK</v>
      </c>
      <c r="AX6" s="735">
        <f>'t1'!K6-'t3'!C6-'t3'!E6-'t3'!G6-'t3'!I6-'t3'!K6+'t3'!M6+'t3'!O6+'t3'!Q6</f>
        <v>0</v>
      </c>
      <c r="AY6" s="736">
        <f>'t1'!L6-'t3'!D6-'t3'!F6-'t3'!H6-'t3'!J6-'t3'!L6+'t3'!N6+'t3'!P6+'t3'!R6</f>
        <v>0</v>
      </c>
      <c r="AZ6" s="5">
        <f>'t1'!M6</f>
        <v>0</v>
      </c>
    </row>
    <row r="7" spans="1:52" ht="12.75" customHeight="1">
      <c r="A7" s="23" t="str">
        <f>'t1'!A7</f>
        <v>PERSONALE NON DIRIGENTE</v>
      </c>
      <c r="B7" s="155" t="str">
        <f>'t1'!B7</f>
        <v>0000ND</v>
      </c>
      <c r="C7" s="713"/>
      <c r="D7" s="251"/>
      <c r="E7" s="713"/>
      <c r="F7" s="251"/>
      <c r="G7" s="713"/>
      <c r="H7" s="251"/>
      <c r="I7" s="713"/>
      <c r="J7" s="251"/>
      <c r="K7" s="713"/>
      <c r="L7" s="251"/>
      <c r="M7" s="713"/>
      <c r="N7" s="251"/>
      <c r="O7" s="713"/>
      <c r="P7" s="251"/>
      <c r="Q7" s="713"/>
      <c r="R7" s="251"/>
      <c r="S7" s="713"/>
      <c r="T7" s="251"/>
      <c r="U7" s="713"/>
      <c r="V7" s="251"/>
      <c r="W7" s="713"/>
      <c r="X7" s="251"/>
      <c r="Y7" s="713"/>
      <c r="Z7" s="251"/>
      <c r="AA7" s="713"/>
      <c r="AB7" s="251"/>
      <c r="AC7" s="713"/>
      <c r="AD7" s="251"/>
      <c r="AE7" s="713"/>
      <c r="AF7" s="251"/>
      <c r="AG7" s="713"/>
      <c r="AH7" s="251"/>
      <c r="AI7" s="713"/>
      <c r="AJ7" s="251"/>
      <c r="AK7" s="713"/>
      <c r="AL7" s="251"/>
      <c r="AM7" s="713"/>
      <c r="AN7" s="251"/>
      <c r="AO7" s="713"/>
      <c r="AP7" s="251"/>
      <c r="AQ7" s="713"/>
      <c r="AR7" s="251"/>
      <c r="AS7" s="713"/>
      <c r="AT7" s="251"/>
      <c r="AU7" s="461">
        <f>SUM(C7,E7,G7,I7,K7,M7,O7,Q7,S7,U7,W7,Y7,AA7,AC7,AE7,AG7,AI7,AK7,AM7,AO7,AQ7,AS7)</f>
        <v>0</v>
      </c>
      <c r="AV7" s="462">
        <f>SUM(T7,V7,X7,Z7,D7,F7,H7,J7,L7,N7,P7,R7,AB7,AD7,AF7,AH7,AJ7,AL7,AN7,AP7,AR7,AT7)</f>
        <v>0</v>
      </c>
      <c r="AW7" s="734" t="str">
        <f>IF((AU7+AV7)=(AX7+AY7),"OK","Controllare totale")</f>
        <v>OK</v>
      </c>
      <c r="AX7" s="737">
        <f>'t1'!K7-'t3'!C7-'t3'!E7-'t3'!G7-'t3'!I7-'t3'!K7+'t3'!M7+'t3'!O7+'t3'!Q7</f>
        <v>0</v>
      </c>
      <c r="AY7" s="738">
        <f>'t1'!L7-'t3'!D7-'t3'!F7-'t3'!H7-'t3'!J7-'t3'!L7+'t3'!N7+'t3'!P7+'t3'!R7</f>
        <v>0</v>
      </c>
      <c r="AZ7" s="5">
        <f>'t1'!M7</f>
        <v>0</v>
      </c>
    </row>
    <row r="8" spans="1:52" ht="12.75" customHeight="1" thickBot="1">
      <c r="A8" s="23" t="str">
        <f>'t1'!A8</f>
        <v>CONTRATTISTI (a)</v>
      </c>
      <c r="B8" s="155" t="str">
        <f>'t1'!B8</f>
        <v>000061</v>
      </c>
      <c r="C8" s="713"/>
      <c r="D8" s="251"/>
      <c r="E8" s="713"/>
      <c r="F8" s="251"/>
      <c r="G8" s="713"/>
      <c r="H8" s="251"/>
      <c r="I8" s="713"/>
      <c r="J8" s="251"/>
      <c r="K8" s="713"/>
      <c r="L8" s="251"/>
      <c r="M8" s="713"/>
      <c r="N8" s="251"/>
      <c r="O8" s="713"/>
      <c r="P8" s="251"/>
      <c r="Q8" s="713"/>
      <c r="R8" s="251"/>
      <c r="S8" s="713"/>
      <c r="T8" s="251"/>
      <c r="U8" s="713"/>
      <c r="V8" s="251"/>
      <c r="W8" s="713"/>
      <c r="X8" s="251"/>
      <c r="Y8" s="713"/>
      <c r="Z8" s="251"/>
      <c r="AA8" s="713"/>
      <c r="AB8" s="251"/>
      <c r="AC8" s="713"/>
      <c r="AD8" s="251"/>
      <c r="AE8" s="713"/>
      <c r="AF8" s="251"/>
      <c r="AG8" s="713"/>
      <c r="AH8" s="251"/>
      <c r="AI8" s="713"/>
      <c r="AJ8" s="251"/>
      <c r="AK8" s="713"/>
      <c r="AL8" s="251"/>
      <c r="AM8" s="713"/>
      <c r="AN8" s="251"/>
      <c r="AO8" s="713"/>
      <c r="AP8" s="251"/>
      <c r="AQ8" s="713"/>
      <c r="AR8" s="251"/>
      <c r="AS8" s="713"/>
      <c r="AT8" s="251"/>
      <c r="AU8" s="461">
        <f>SUM(S8,U8,W8,Y8,C8,E8,G8,I8,K8,M8,O8,Q8,AA8,AC8,AE8,AG8,AI8,AK8,AM8,AO8,AQ8,AS8)</f>
        <v>0</v>
      </c>
      <c r="AV8" s="462">
        <f>SUM(T8,V8,X8,Z8,D8,F8,H8,J8,L8,N8,P8,R8,AB8,AD8,AF8,AH8,AJ8,AL8,AN8,AP8,AR8,AT8)</f>
        <v>0</v>
      </c>
      <c r="AW8" s="734" t="str">
        <f>IF((AU8+AV8)=(AX8+AY8),"OK","Controllare totale")</f>
        <v>OK</v>
      </c>
      <c r="AX8" s="739">
        <f>'t1'!K8-'t3'!C8-'t3'!E8-'t3'!G8-'t3'!I8-'t3'!K8+'t3'!M8+'t3'!O8+'t3'!Q8</f>
        <v>0</v>
      </c>
      <c r="AY8" s="740">
        <f>'t1'!L8-'t3'!D8-'t3'!F8-'t3'!H8-'t3'!J8-'t3'!L8+'t3'!N8+'t3'!P8+'t3'!R8</f>
        <v>0</v>
      </c>
      <c r="AZ8" s="5">
        <f>'t1'!M8</f>
        <v>0</v>
      </c>
    </row>
    <row r="9" spans="1:51" ht="17.25" customHeight="1" thickBot="1" thickTop="1">
      <c r="A9" s="17" t="s">
        <v>76</v>
      </c>
      <c r="B9" s="157"/>
      <c r="C9" s="463">
        <f aca="true" t="shared" si="0" ref="C9:AV9">SUM(C6:C8)</f>
        <v>0</v>
      </c>
      <c r="D9" s="465">
        <f t="shared" si="0"/>
        <v>0</v>
      </c>
      <c r="E9" s="463">
        <f t="shared" si="0"/>
        <v>0</v>
      </c>
      <c r="F9" s="465">
        <f t="shared" si="0"/>
        <v>0</v>
      </c>
      <c r="G9" s="463">
        <f t="shared" si="0"/>
        <v>0</v>
      </c>
      <c r="H9" s="465">
        <f t="shared" si="0"/>
        <v>0</v>
      </c>
      <c r="I9" s="463">
        <f t="shared" si="0"/>
        <v>0</v>
      </c>
      <c r="J9" s="465">
        <f t="shared" si="0"/>
        <v>0</v>
      </c>
      <c r="K9" s="463">
        <f t="shared" si="0"/>
        <v>0</v>
      </c>
      <c r="L9" s="465">
        <f t="shared" si="0"/>
        <v>0</v>
      </c>
      <c r="M9" s="463">
        <f t="shared" si="0"/>
        <v>0</v>
      </c>
      <c r="N9" s="465">
        <f t="shared" si="0"/>
        <v>0</v>
      </c>
      <c r="O9" s="463">
        <f t="shared" si="0"/>
        <v>0</v>
      </c>
      <c r="P9" s="465">
        <f t="shared" si="0"/>
        <v>0</v>
      </c>
      <c r="Q9" s="463">
        <f t="shared" si="0"/>
        <v>0</v>
      </c>
      <c r="R9" s="465">
        <f t="shared" si="0"/>
        <v>0</v>
      </c>
      <c r="S9" s="463">
        <f t="shared" si="0"/>
        <v>0</v>
      </c>
      <c r="T9" s="465">
        <f t="shared" si="0"/>
        <v>0</v>
      </c>
      <c r="U9" s="463">
        <f t="shared" si="0"/>
        <v>0</v>
      </c>
      <c r="V9" s="465">
        <f t="shared" si="0"/>
        <v>0</v>
      </c>
      <c r="W9" s="463">
        <f t="shared" si="0"/>
        <v>0</v>
      </c>
      <c r="X9" s="465">
        <f t="shared" si="0"/>
        <v>0</v>
      </c>
      <c r="Y9" s="463">
        <f t="shared" si="0"/>
        <v>0</v>
      </c>
      <c r="Z9" s="465">
        <f t="shared" si="0"/>
        <v>0</v>
      </c>
      <c r="AA9" s="463">
        <f t="shared" si="0"/>
        <v>0</v>
      </c>
      <c r="AB9" s="465">
        <f t="shared" si="0"/>
        <v>0</v>
      </c>
      <c r="AC9" s="463">
        <f t="shared" si="0"/>
        <v>0</v>
      </c>
      <c r="AD9" s="465">
        <f t="shared" si="0"/>
        <v>0</v>
      </c>
      <c r="AE9" s="463">
        <f t="shared" si="0"/>
        <v>0</v>
      </c>
      <c r="AF9" s="465">
        <f t="shared" si="0"/>
        <v>0</v>
      </c>
      <c r="AG9" s="463">
        <f t="shared" si="0"/>
        <v>0</v>
      </c>
      <c r="AH9" s="465">
        <f t="shared" si="0"/>
        <v>0</v>
      </c>
      <c r="AI9" s="463">
        <f t="shared" si="0"/>
        <v>0</v>
      </c>
      <c r="AJ9" s="465">
        <f t="shared" si="0"/>
        <v>0</v>
      </c>
      <c r="AK9" s="463">
        <f t="shared" si="0"/>
        <v>0</v>
      </c>
      <c r="AL9" s="465">
        <f t="shared" si="0"/>
        <v>0</v>
      </c>
      <c r="AM9" s="463">
        <f t="shared" si="0"/>
        <v>0</v>
      </c>
      <c r="AN9" s="465">
        <f t="shared" si="0"/>
        <v>0</v>
      </c>
      <c r="AO9" s="463">
        <f t="shared" si="0"/>
        <v>0</v>
      </c>
      <c r="AP9" s="465">
        <f t="shared" si="0"/>
        <v>0</v>
      </c>
      <c r="AQ9" s="463">
        <f t="shared" si="0"/>
        <v>0</v>
      </c>
      <c r="AR9" s="465">
        <f t="shared" si="0"/>
        <v>0</v>
      </c>
      <c r="AS9" s="463">
        <f t="shared" si="0"/>
        <v>0</v>
      </c>
      <c r="AT9" s="465">
        <f t="shared" si="0"/>
        <v>0</v>
      </c>
      <c r="AU9" s="463">
        <f t="shared" si="0"/>
        <v>0</v>
      </c>
      <c r="AV9" s="464">
        <f t="shared" si="0"/>
        <v>0</v>
      </c>
      <c r="AW9" s="734" t="str">
        <f>IF((AU50+AV50)=(AX9+AY9),"OK","Controllare totale")</f>
        <v>OK</v>
      </c>
      <c r="AX9" s="741">
        <f>SUM(AX6:AX8)</f>
        <v>0</v>
      </c>
      <c r="AY9" s="742">
        <f>SUM(AY6:AY8)</f>
        <v>0</v>
      </c>
    </row>
    <row r="10" spans="3:27" ht="17.25" customHeight="1">
      <c r="C10" s="25" t="str">
        <f>'t1'!$A$10</f>
        <v>(a) personale a tempo indeterminato al quale viene applicato un contratto di lavoro di tipo privatistico (es.:tipografico,chimico,edile,metalmeccanico,portierato, ecc.)</v>
      </c>
      <c r="M10" s="10"/>
      <c r="N10" s="10"/>
      <c r="O10" s="10"/>
      <c r="P10" s="10"/>
      <c r="Q10" s="10"/>
      <c r="R10" s="10"/>
      <c r="S10" s="9"/>
      <c r="T10" s="9"/>
      <c r="AA10" s="25" t="str">
        <f>'t1'!$A$10</f>
        <v>(a) personale a tempo indeterminato al quale viene applicato un contratto di lavoro di tipo privatistico (es.:tipografico,chimico,edile,metalmeccanico,portierato, ecc.)</v>
      </c>
    </row>
    <row r="11" spans="3:27" ht="11.25">
      <c r="C11" s="25"/>
      <c r="AA11" s="25" t="e">
        <f>'t1'!#REF!</f>
        <v>#REF!</v>
      </c>
    </row>
  </sheetData>
  <sheetProtection password="EA98" sheet="1" formatColumns="0" selectLockedCells="1"/>
  <mergeCells count="6">
    <mergeCell ref="A1:A2"/>
    <mergeCell ref="G4:H4"/>
    <mergeCell ref="S2:Z2"/>
    <mergeCell ref="AO2:AV2"/>
    <mergeCell ref="C1:W1"/>
    <mergeCell ref="AA1:AS1"/>
  </mergeCells>
  <conditionalFormatting sqref="A6:AV8">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C13"/>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46.16015625" style="30" customWidth="1"/>
    <col min="2" max="2" width="8.83203125" style="34" customWidth="1"/>
    <col min="3" max="6" width="11.33203125" style="30" hidden="1" customWidth="1"/>
    <col min="7" max="10" width="10.33203125" style="30" hidden="1" customWidth="1"/>
    <col min="11" max="14" width="0" style="30" hidden="1" customWidth="1"/>
    <col min="15" max="20" width="9.33203125" style="30" hidden="1" customWidth="1"/>
    <col min="21" max="32" width="0" style="30" hidden="1" customWidth="1"/>
    <col min="33" max="36" width="11.33203125" style="30" customWidth="1"/>
    <col min="37" max="40" width="10.33203125" style="30" customWidth="1"/>
    <col min="41" max="44" width="10.66015625" style="30" customWidth="1"/>
    <col min="45" max="50" width="9.33203125" style="30" customWidth="1"/>
    <col min="51" max="52" width="10.66015625" style="30" customWidth="1"/>
    <col min="53" max="53" width="0" style="30" hidden="1" customWidth="1"/>
    <col min="54" max="16384" width="10.66015625" style="30" customWidth="1"/>
  </cols>
  <sheetData>
    <row r="1" spans="1:55" s="5" customFormat="1" ht="43.5"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c r="AK1" s="1045"/>
      <c r="AL1" s="1045"/>
      <c r="AM1" s="1045"/>
      <c r="AN1" s="1045"/>
      <c r="AO1" s="1045"/>
      <c r="AP1" s="1045"/>
      <c r="AQ1" s="1045"/>
      <c r="AR1" s="1045"/>
      <c r="AS1" s="1045"/>
      <c r="AT1" s="1045"/>
      <c r="AU1" s="1045"/>
      <c r="AV1" s="1045"/>
      <c r="AW1" s="1045"/>
      <c r="AX1" s="1045"/>
      <c r="AY1" s="1045"/>
      <c r="AZ1" s="1045"/>
      <c r="BA1" s="30"/>
      <c r="BB1" s="30"/>
      <c r="BC1" s="30"/>
    </row>
    <row r="2" spans="1:40" ht="30" customHeight="1" thickBot="1">
      <c r="A2" s="27"/>
      <c r="B2" s="28"/>
      <c r="C2" s="29"/>
      <c r="D2" s="29"/>
      <c r="E2" s="29"/>
      <c r="F2" s="29"/>
      <c r="G2" s="1046"/>
      <c r="H2" s="1046"/>
      <c r="I2" s="1046"/>
      <c r="J2" s="1046"/>
      <c r="AG2" s="29"/>
      <c r="AH2" s="29"/>
      <c r="AI2" s="29"/>
      <c r="AJ2" s="29"/>
      <c r="AK2" s="1046"/>
      <c r="AL2" s="1046"/>
      <c r="AM2" s="1046"/>
      <c r="AN2" s="1046"/>
    </row>
    <row r="3" spans="1:52" ht="15.75" customHeight="1" thickBot="1">
      <c r="A3" s="291"/>
      <c r="B3" s="296"/>
      <c r="C3" s="297" t="s">
        <v>254</v>
      </c>
      <c r="D3" s="297"/>
      <c r="E3" s="297"/>
      <c r="F3" s="297"/>
      <c r="G3" s="297"/>
      <c r="H3" s="298"/>
      <c r="I3" s="297"/>
      <c r="J3" s="298"/>
      <c r="K3" s="298"/>
      <c r="L3" s="298"/>
      <c r="M3" s="298"/>
      <c r="N3" s="298"/>
      <c r="O3" s="298"/>
      <c r="P3" s="298"/>
      <c r="Q3" s="298"/>
      <c r="R3" s="298"/>
      <c r="S3" s="298"/>
      <c r="T3" s="298"/>
      <c r="U3" s="298"/>
      <c r="V3" s="298"/>
      <c r="AG3" s="297" t="s">
        <v>254</v>
      </c>
      <c r="AH3" s="297"/>
      <c r="AI3" s="297"/>
      <c r="AJ3" s="297"/>
      <c r="AK3" s="297"/>
      <c r="AL3" s="298"/>
      <c r="AM3" s="297"/>
      <c r="AN3" s="298"/>
      <c r="AO3" s="298"/>
      <c r="AP3" s="298"/>
      <c r="AQ3" s="298"/>
      <c r="AR3" s="298"/>
      <c r="AS3" s="298"/>
      <c r="AT3" s="298"/>
      <c r="AU3" s="298"/>
      <c r="AV3" s="298"/>
      <c r="AW3" s="298"/>
      <c r="AX3" s="298"/>
      <c r="AY3" s="298"/>
      <c r="AZ3" s="298"/>
    </row>
    <row r="4" spans="1:52" ht="37.5" customHeight="1" thickTop="1">
      <c r="A4" s="31" t="s">
        <v>145</v>
      </c>
      <c r="B4" s="32" t="s">
        <v>73</v>
      </c>
      <c r="C4" s="483" t="s">
        <v>78</v>
      </c>
      <c r="D4" s="484"/>
      <c r="E4" s="1087" t="s">
        <v>377</v>
      </c>
      <c r="F4" s="1088"/>
      <c r="G4" s="1092" t="s">
        <v>401</v>
      </c>
      <c r="H4" s="1067"/>
      <c r="I4" s="1092" t="s">
        <v>376</v>
      </c>
      <c r="J4" s="1067"/>
      <c r="K4" s="1093" t="s">
        <v>375</v>
      </c>
      <c r="L4" s="1067"/>
      <c r="M4" s="1089" t="s">
        <v>374</v>
      </c>
      <c r="N4" s="1067"/>
      <c r="O4" s="1089" t="s">
        <v>352</v>
      </c>
      <c r="P4" s="1067"/>
      <c r="Q4" s="1089" t="s">
        <v>189</v>
      </c>
      <c r="R4" s="1067"/>
      <c r="S4" s="1089" t="s">
        <v>61</v>
      </c>
      <c r="T4" s="1067"/>
      <c r="U4" s="399" t="s">
        <v>76</v>
      </c>
      <c r="V4" s="398"/>
      <c r="AG4" s="483" t="s">
        <v>78</v>
      </c>
      <c r="AH4" s="484"/>
      <c r="AI4" s="1087" t="s">
        <v>377</v>
      </c>
      <c r="AJ4" s="1088"/>
      <c r="AK4" s="1092" t="s">
        <v>401</v>
      </c>
      <c r="AL4" s="1067"/>
      <c r="AM4" s="1092" t="s">
        <v>376</v>
      </c>
      <c r="AN4" s="1067"/>
      <c r="AO4" s="1093" t="s">
        <v>375</v>
      </c>
      <c r="AP4" s="1067"/>
      <c r="AQ4" s="1089" t="s">
        <v>374</v>
      </c>
      <c r="AR4" s="1067"/>
      <c r="AS4" s="1089" t="s">
        <v>352</v>
      </c>
      <c r="AT4" s="1067"/>
      <c r="AU4" s="1089" t="s">
        <v>189</v>
      </c>
      <c r="AV4" s="1067"/>
      <c r="AW4" s="1089" t="s">
        <v>61</v>
      </c>
      <c r="AX4" s="1067"/>
      <c r="AY4" s="399" t="s">
        <v>76</v>
      </c>
      <c r="AZ4" s="398"/>
    </row>
    <row r="5" spans="1:52" ht="11.25">
      <c r="A5" s="31"/>
      <c r="B5" s="32"/>
      <c r="C5" s="1085" t="s">
        <v>294</v>
      </c>
      <c r="D5" s="1086"/>
      <c r="E5" s="1085" t="s">
        <v>378</v>
      </c>
      <c r="F5" s="1086"/>
      <c r="G5" s="1085" t="s">
        <v>400</v>
      </c>
      <c r="H5" s="1086"/>
      <c r="I5" s="1085" t="s">
        <v>379</v>
      </c>
      <c r="J5" s="1086"/>
      <c r="K5" s="1085" t="s">
        <v>380</v>
      </c>
      <c r="L5" s="1086"/>
      <c r="M5" s="1090" t="s">
        <v>381</v>
      </c>
      <c r="N5" s="1091"/>
      <c r="O5" s="1090" t="s">
        <v>295</v>
      </c>
      <c r="P5" s="1091"/>
      <c r="Q5" s="1090" t="s">
        <v>296</v>
      </c>
      <c r="R5" s="1091"/>
      <c r="S5" s="1090" t="s">
        <v>321</v>
      </c>
      <c r="T5" s="1091"/>
      <c r="U5" s="400"/>
      <c r="V5" s="469"/>
      <c r="AG5" s="1085" t="s">
        <v>294</v>
      </c>
      <c r="AH5" s="1086"/>
      <c r="AI5" s="1085" t="s">
        <v>378</v>
      </c>
      <c r="AJ5" s="1086"/>
      <c r="AK5" s="1085" t="s">
        <v>400</v>
      </c>
      <c r="AL5" s="1086"/>
      <c r="AM5" s="1085" t="s">
        <v>379</v>
      </c>
      <c r="AN5" s="1086"/>
      <c r="AO5" s="1085" t="s">
        <v>380</v>
      </c>
      <c r="AP5" s="1086"/>
      <c r="AQ5" s="1090" t="s">
        <v>381</v>
      </c>
      <c r="AR5" s="1091"/>
      <c r="AS5" s="1090" t="s">
        <v>295</v>
      </c>
      <c r="AT5" s="1091"/>
      <c r="AU5" s="1090" t="s">
        <v>296</v>
      </c>
      <c r="AV5" s="1091"/>
      <c r="AW5" s="1090" t="s">
        <v>321</v>
      </c>
      <c r="AX5" s="1091"/>
      <c r="AY5" s="400"/>
      <c r="AZ5" s="469"/>
    </row>
    <row r="6" spans="1:52" ht="12" customHeight="1">
      <c r="A6" s="31"/>
      <c r="B6" s="32"/>
      <c r="C6" s="271" t="s">
        <v>74</v>
      </c>
      <c r="D6" s="401" t="s">
        <v>75</v>
      </c>
      <c r="E6" s="271" t="s">
        <v>74</v>
      </c>
      <c r="F6" s="401" t="s">
        <v>75</v>
      </c>
      <c r="G6" s="271" t="s">
        <v>74</v>
      </c>
      <c r="H6" s="401" t="s">
        <v>75</v>
      </c>
      <c r="I6" s="271" t="s">
        <v>74</v>
      </c>
      <c r="J6" s="401" t="s">
        <v>75</v>
      </c>
      <c r="K6" s="271" t="s">
        <v>74</v>
      </c>
      <c r="L6" s="401" t="s">
        <v>75</v>
      </c>
      <c r="M6" s="271" t="s">
        <v>74</v>
      </c>
      <c r="N6" s="401" t="s">
        <v>75</v>
      </c>
      <c r="O6" s="271" t="s">
        <v>74</v>
      </c>
      <c r="P6" s="635" t="s">
        <v>75</v>
      </c>
      <c r="Q6" s="271" t="s">
        <v>74</v>
      </c>
      <c r="R6" s="635" t="s">
        <v>75</v>
      </c>
      <c r="S6" s="271" t="s">
        <v>74</v>
      </c>
      <c r="T6" s="631" t="s">
        <v>75</v>
      </c>
      <c r="U6" s="271" t="s">
        <v>74</v>
      </c>
      <c r="V6" s="401" t="s">
        <v>75</v>
      </c>
      <c r="AG6" s="271" t="s">
        <v>74</v>
      </c>
      <c r="AH6" s="401" t="s">
        <v>75</v>
      </c>
      <c r="AI6" s="271" t="s">
        <v>74</v>
      </c>
      <c r="AJ6" s="401" t="s">
        <v>75</v>
      </c>
      <c r="AK6" s="271" t="s">
        <v>74</v>
      </c>
      <c r="AL6" s="401" t="s">
        <v>75</v>
      </c>
      <c r="AM6" s="271" t="s">
        <v>74</v>
      </c>
      <c r="AN6" s="401" t="s">
        <v>75</v>
      </c>
      <c r="AO6" s="271" t="s">
        <v>74</v>
      </c>
      <c r="AP6" s="401" t="s">
        <v>75</v>
      </c>
      <c r="AQ6" s="271" t="s">
        <v>74</v>
      </c>
      <c r="AR6" s="401" t="s">
        <v>75</v>
      </c>
      <c r="AS6" s="271" t="s">
        <v>74</v>
      </c>
      <c r="AT6" s="635" t="s">
        <v>75</v>
      </c>
      <c r="AU6" s="271" t="s">
        <v>74</v>
      </c>
      <c r="AV6" s="635" t="s">
        <v>75</v>
      </c>
      <c r="AW6" s="271" t="s">
        <v>74</v>
      </c>
      <c r="AX6" s="631" t="s">
        <v>75</v>
      </c>
      <c r="AY6" s="271" t="s">
        <v>74</v>
      </c>
      <c r="AZ6" s="401" t="s">
        <v>75</v>
      </c>
    </row>
    <row r="7" spans="1:52" s="283" customFormat="1" ht="11.25" thickBot="1">
      <c r="A7" s="871" t="s">
        <v>533</v>
      </c>
      <c r="B7" s="475"/>
      <c r="C7" s="281" t="s">
        <v>79</v>
      </c>
      <c r="D7" s="282" t="s">
        <v>79</v>
      </c>
      <c r="E7" s="281" t="s">
        <v>79</v>
      </c>
      <c r="F7" s="282" t="s">
        <v>79</v>
      </c>
      <c r="G7" s="281" t="s">
        <v>79</v>
      </c>
      <c r="H7" s="282" t="s">
        <v>79</v>
      </c>
      <c r="I7" s="281" t="s">
        <v>79</v>
      </c>
      <c r="J7" s="282" t="s">
        <v>79</v>
      </c>
      <c r="K7" s="281" t="s">
        <v>79</v>
      </c>
      <c r="L7" s="282" t="s">
        <v>79</v>
      </c>
      <c r="M7" s="281" t="s">
        <v>79</v>
      </c>
      <c r="N7" s="282" t="s">
        <v>79</v>
      </c>
      <c r="O7" s="281" t="s">
        <v>79</v>
      </c>
      <c r="P7" s="636" t="s">
        <v>79</v>
      </c>
      <c r="Q7" s="281" t="s">
        <v>79</v>
      </c>
      <c r="R7" s="636" t="s">
        <v>79</v>
      </c>
      <c r="S7" s="281" t="s">
        <v>79</v>
      </c>
      <c r="T7" s="636" t="s">
        <v>79</v>
      </c>
      <c r="U7" s="641" t="s">
        <v>79</v>
      </c>
      <c r="V7" s="539" t="s">
        <v>79</v>
      </c>
      <c r="AG7" s="281" t="s">
        <v>79</v>
      </c>
      <c r="AH7" s="282" t="s">
        <v>79</v>
      </c>
      <c r="AI7" s="281" t="s">
        <v>79</v>
      </c>
      <c r="AJ7" s="282" t="s">
        <v>79</v>
      </c>
      <c r="AK7" s="281" t="s">
        <v>79</v>
      </c>
      <c r="AL7" s="282" t="s">
        <v>79</v>
      </c>
      <c r="AM7" s="281" t="s">
        <v>79</v>
      </c>
      <c r="AN7" s="282" t="s">
        <v>79</v>
      </c>
      <c r="AO7" s="281" t="s">
        <v>79</v>
      </c>
      <c r="AP7" s="282" t="s">
        <v>79</v>
      </c>
      <c r="AQ7" s="281" t="s">
        <v>79</v>
      </c>
      <c r="AR7" s="282" t="s">
        <v>79</v>
      </c>
      <c r="AS7" s="281" t="s">
        <v>79</v>
      </c>
      <c r="AT7" s="636" t="s">
        <v>79</v>
      </c>
      <c r="AU7" s="281" t="s">
        <v>79</v>
      </c>
      <c r="AV7" s="636" t="s">
        <v>79</v>
      </c>
      <c r="AW7" s="281" t="s">
        <v>79</v>
      </c>
      <c r="AX7" s="636" t="s">
        <v>79</v>
      </c>
      <c r="AY7" s="641" t="s">
        <v>79</v>
      </c>
      <c r="AZ7" s="539" t="s">
        <v>79</v>
      </c>
    </row>
    <row r="8" spans="1:53" ht="12.75" customHeight="1" thickTop="1">
      <c r="A8" s="24" t="str">
        <f>'t1'!A6</f>
        <v>PERSONALE DIRIGENTE</v>
      </c>
      <c r="B8" s="234" t="str">
        <f>'t1'!B6</f>
        <v>0D00NF</v>
      </c>
      <c r="C8" s="883">
        <f aca="true" t="shared" si="0" ref="C8:L10">ROUND(AG8,0)</f>
        <v>0</v>
      </c>
      <c r="D8" s="884">
        <f t="shared" si="0"/>
        <v>0</v>
      </c>
      <c r="E8" s="883">
        <f t="shared" si="0"/>
        <v>0</v>
      </c>
      <c r="F8" s="884">
        <f t="shared" si="0"/>
        <v>0</v>
      </c>
      <c r="G8" s="883">
        <f t="shared" si="0"/>
        <v>0</v>
      </c>
      <c r="H8" s="884">
        <f t="shared" si="0"/>
        <v>0</v>
      </c>
      <c r="I8" s="883">
        <f t="shared" si="0"/>
        <v>0</v>
      </c>
      <c r="J8" s="884">
        <f t="shared" si="0"/>
        <v>0</v>
      </c>
      <c r="K8" s="883">
        <f t="shared" si="0"/>
        <v>0</v>
      </c>
      <c r="L8" s="884">
        <f t="shared" si="0"/>
        <v>0</v>
      </c>
      <c r="M8" s="883">
        <f aca="true" t="shared" si="1" ref="M8:T10">ROUND(AQ8,0)</f>
        <v>0</v>
      </c>
      <c r="N8" s="884">
        <f t="shared" si="1"/>
        <v>0</v>
      </c>
      <c r="O8" s="885">
        <f t="shared" si="1"/>
        <v>0</v>
      </c>
      <c r="P8" s="886">
        <f t="shared" si="1"/>
        <v>0</v>
      </c>
      <c r="Q8" s="885">
        <f t="shared" si="1"/>
        <v>0</v>
      </c>
      <c r="R8" s="886">
        <f t="shared" si="1"/>
        <v>0</v>
      </c>
      <c r="S8" s="885">
        <f t="shared" si="1"/>
        <v>0</v>
      </c>
      <c r="T8" s="887">
        <f t="shared" si="1"/>
        <v>0</v>
      </c>
      <c r="U8" s="642">
        <f aca="true" t="shared" si="2" ref="U8:V10">SUM(C8,E8,G8,I8,K8,M8,O8,Q8,S8)</f>
        <v>0</v>
      </c>
      <c r="V8" s="643">
        <f t="shared" si="2"/>
        <v>0</v>
      </c>
      <c r="W8" s="30">
        <f>'t1'!M6</f>
        <v>0</v>
      </c>
      <c r="AG8" s="267"/>
      <c r="AH8" s="268"/>
      <c r="AI8" s="267"/>
      <c r="AJ8" s="268"/>
      <c r="AK8" s="267"/>
      <c r="AL8" s="268"/>
      <c r="AM8" s="267"/>
      <c r="AN8" s="268"/>
      <c r="AO8" s="267"/>
      <c r="AP8" s="268"/>
      <c r="AQ8" s="267"/>
      <c r="AR8" s="268"/>
      <c r="AS8" s="640"/>
      <c r="AT8" s="637"/>
      <c r="AU8" s="640"/>
      <c r="AV8" s="637"/>
      <c r="AW8" s="640"/>
      <c r="AX8" s="632"/>
      <c r="AY8" s="642">
        <f aca="true" t="shared" si="3" ref="AY8:AZ10">SUM(AG8,AI8,AK8,AM8,AO8,AQ8,AS8,AU8,AW8)</f>
        <v>0</v>
      </c>
      <c r="AZ8" s="643">
        <f t="shared" si="3"/>
        <v>0</v>
      </c>
      <c r="BA8" s="30">
        <f>'t1'!AQ6</f>
        <v>0</v>
      </c>
    </row>
    <row r="9" spans="1:53" ht="12.75" customHeight="1">
      <c r="A9" s="156" t="str">
        <f>'t1'!A7</f>
        <v>PERSONALE NON DIRIGENTE</v>
      </c>
      <c r="B9" s="227" t="str">
        <f>'t1'!B7</f>
        <v>0000ND</v>
      </c>
      <c r="C9" s="888">
        <f t="shared" si="0"/>
        <v>0</v>
      </c>
      <c r="D9" s="889">
        <f t="shared" si="0"/>
        <v>0</v>
      </c>
      <c r="E9" s="888">
        <f t="shared" si="0"/>
        <v>0</v>
      </c>
      <c r="F9" s="889">
        <f t="shared" si="0"/>
        <v>0</v>
      </c>
      <c r="G9" s="888">
        <f t="shared" si="0"/>
        <v>0</v>
      </c>
      <c r="H9" s="889">
        <f t="shared" si="0"/>
        <v>0</v>
      </c>
      <c r="I9" s="888">
        <f t="shared" si="0"/>
        <v>0</v>
      </c>
      <c r="J9" s="889">
        <f t="shared" si="0"/>
        <v>0</v>
      </c>
      <c r="K9" s="888">
        <f t="shared" si="0"/>
        <v>0</v>
      </c>
      <c r="L9" s="889">
        <f t="shared" si="0"/>
        <v>0</v>
      </c>
      <c r="M9" s="888">
        <f t="shared" si="1"/>
        <v>0</v>
      </c>
      <c r="N9" s="889">
        <f t="shared" si="1"/>
        <v>0</v>
      </c>
      <c r="O9" s="888">
        <f t="shared" si="1"/>
        <v>0</v>
      </c>
      <c r="P9" s="890">
        <f t="shared" si="1"/>
        <v>0</v>
      </c>
      <c r="Q9" s="888">
        <f t="shared" si="1"/>
        <v>0</v>
      </c>
      <c r="R9" s="890">
        <f t="shared" si="1"/>
        <v>0</v>
      </c>
      <c r="S9" s="888">
        <f t="shared" si="1"/>
        <v>0</v>
      </c>
      <c r="T9" s="891">
        <f t="shared" si="1"/>
        <v>0</v>
      </c>
      <c r="U9" s="538">
        <f t="shared" si="2"/>
        <v>0</v>
      </c>
      <c r="V9" s="540">
        <f t="shared" si="2"/>
        <v>0</v>
      </c>
      <c r="W9" s="30">
        <f>'t1'!M7</f>
        <v>0</v>
      </c>
      <c r="AG9" s="269"/>
      <c r="AH9" s="270"/>
      <c r="AI9" s="269"/>
      <c r="AJ9" s="270"/>
      <c r="AK9" s="269"/>
      <c r="AL9" s="270"/>
      <c r="AM9" s="269"/>
      <c r="AN9" s="270"/>
      <c r="AO9" s="269"/>
      <c r="AP9" s="270"/>
      <c r="AQ9" s="269"/>
      <c r="AR9" s="270"/>
      <c r="AS9" s="269"/>
      <c r="AT9" s="638"/>
      <c r="AU9" s="269"/>
      <c r="AV9" s="638"/>
      <c r="AW9" s="269"/>
      <c r="AX9" s="633"/>
      <c r="AY9" s="538">
        <f t="shared" si="3"/>
        <v>0</v>
      </c>
      <c r="AZ9" s="540">
        <f t="shared" si="3"/>
        <v>0</v>
      </c>
      <c r="BA9" s="30">
        <f>'t1'!AQ7</f>
        <v>0</v>
      </c>
    </row>
    <row r="10" spans="1:53" ht="12.75" customHeight="1" thickBot="1">
      <c r="A10" s="156" t="str">
        <f>'t1'!A8</f>
        <v>CONTRATTISTI (a)</v>
      </c>
      <c r="B10" s="227" t="str">
        <f>'t1'!B8</f>
        <v>000061</v>
      </c>
      <c r="C10" s="888">
        <f t="shared" si="0"/>
        <v>0</v>
      </c>
      <c r="D10" s="889">
        <f t="shared" si="0"/>
        <v>0</v>
      </c>
      <c r="E10" s="888">
        <f t="shared" si="0"/>
        <v>0</v>
      </c>
      <c r="F10" s="889">
        <f t="shared" si="0"/>
        <v>0</v>
      </c>
      <c r="G10" s="888">
        <f t="shared" si="0"/>
        <v>0</v>
      </c>
      <c r="H10" s="889">
        <f t="shared" si="0"/>
        <v>0</v>
      </c>
      <c r="I10" s="888">
        <f t="shared" si="0"/>
        <v>0</v>
      </c>
      <c r="J10" s="889">
        <f t="shared" si="0"/>
        <v>0</v>
      </c>
      <c r="K10" s="888">
        <f t="shared" si="0"/>
        <v>0</v>
      </c>
      <c r="L10" s="889">
        <f t="shared" si="0"/>
        <v>0</v>
      </c>
      <c r="M10" s="888">
        <f t="shared" si="1"/>
        <v>0</v>
      </c>
      <c r="N10" s="889">
        <f t="shared" si="1"/>
        <v>0</v>
      </c>
      <c r="O10" s="888">
        <f t="shared" si="1"/>
        <v>0</v>
      </c>
      <c r="P10" s="890">
        <f t="shared" si="1"/>
        <v>0</v>
      </c>
      <c r="Q10" s="888">
        <f t="shared" si="1"/>
        <v>0</v>
      </c>
      <c r="R10" s="890">
        <f t="shared" si="1"/>
        <v>0</v>
      </c>
      <c r="S10" s="888">
        <f t="shared" si="1"/>
        <v>0</v>
      </c>
      <c r="T10" s="891">
        <f t="shared" si="1"/>
        <v>0</v>
      </c>
      <c r="U10" s="538">
        <f t="shared" si="2"/>
        <v>0</v>
      </c>
      <c r="V10" s="540">
        <f t="shared" si="2"/>
        <v>0</v>
      </c>
      <c r="W10" s="30">
        <f>'t1'!M8</f>
        <v>0</v>
      </c>
      <c r="AG10" s="269"/>
      <c r="AH10" s="270"/>
      <c r="AI10" s="269"/>
      <c r="AJ10" s="270"/>
      <c r="AK10" s="269"/>
      <c r="AL10" s="270"/>
      <c r="AM10" s="269"/>
      <c r="AN10" s="270"/>
      <c r="AO10" s="269"/>
      <c r="AP10" s="270"/>
      <c r="AQ10" s="269"/>
      <c r="AR10" s="270"/>
      <c r="AS10" s="269"/>
      <c r="AT10" s="638"/>
      <c r="AU10" s="269"/>
      <c r="AV10" s="638"/>
      <c r="AW10" s="269"/>
      <c r="AX10" s="633"/>
      <c r="AY10" s="538">
        <f t="shared" si="3"/>
        <v>0</v>
      </c>
      <c r="AZ10" s="540">
        <f t="shared" si="3"/>
        <v>0</v>
      </c>
      <c r="BA10" s="30">
        <f>'t1'!AQ8</f>
        <v>0</v>
      </c>
    </row>
    <row r="11" spans="1:52" ht="12.75" customHeight="1" thickBot="1" thickTop="1">
      <c r="A11" s="33" t="s">
        <v>76</v>
      </c>
      <c r="B11" s="664"/>
      <c r="C11" s="466">
        <f aca="true" t="shared" si="4" ref="C11:V11">SUM(C8:C10)</f>
        <v>0</v>
      </c>
      <c r="D11" s="467">
        <f t="shared" si="4"/>
        <v>0</v>
      </c>
      <c r="E11" s="466">
        <f t="shared" si="4"/>
        <v>0</v>
      </c>
      <c r="F11" s="467">
        <f t="shared" si="4"/>
        <v>0</v>
      </c>
      <c r="G11" s="466">
        <f t="shared" si="4"/>
        <v>0</v>
      </c>
      <c r="H11" s="467">
        <f t="shared" si="4"/>
        <v>0</v>
      </c>
      <c r="I11" s="466">
        <f t="shared" si="4"/>
        <v>0</v>
      </c>
      <c r="J11" s="467">
        <f t="shared" si="4"/>
        <v>0</v>
      </c>
      <c r="K11" s="466">
        <f t="shared" si="4"/>
        <v>0</v>
      </c>
      <c r="L11" s="467">
        <f t="shared" si="4"/>
        <v>0</v>
      </c>
      <c r="M11" s="466">
        <f t="shared" si="4"/>
        <v>0</v>
      </c>
      <c r="N11" s="467">
        <f t="shared" si="4"/>
        <v>0</v>
      </c>
      <c r="O11" s="466">
        <f t="shared" si="4"/>
        <v>0</v>
      </c>
      <c r="P11" s="639">
        <f t="shared" si="4"/>
        <v>0</v>
      </c>
      <c r="Q11" s="466">
        <f t="shared" si="4"/>
        <v>0</v>
      </c>
      <c r="R11" s="639">
        <f t="shared" si="4"/>
        <v>0</v>
      </c>
      <c r="S11" s="466">
        <f t="shared" si="4"/>
        <v>0</v>
      </c>
      <c r="T11" s="634">
        <f t="shared" si="4"/>
        <v>0</v>
      </c>
      <c r="U11" s="466">
        <f t="shared" si="4"/>
        <v>0</v>
      </c>
      <c r="V11" s="468">
        <f t="shared" si="4"/>
        <v>0</v>
      </c>
      <c r="AG11" s="466">
        <f aca="true" t="shared" si="5" ref="AG11:AZ11">SUM(AG8:AG10)</f>
        <v>0</v>
      </c>
      <c r="AH11" s="467">
        <f t="shared" si="5"/>
        <v>0</v>
      </c>
      <c r="AI11" s="466">
        <f t="shared" si="5"/>
        <v>0</v>
      </c>
      <c r="AJ11" s="467">
        <f t="shared" si="5"/>
        <v>0</v>
      </c>
      <c r="AK11" s="466">
        <f t="shared" si="5"/>
        <v>0</v>
      </c>
      <c r="AL11" s="467">
        <f t="shared" si="5"/>
        <v>0</v>
      </c>
      <c r="AM11" s="466">
        <f t="shared" si="5"/>
        <v>0</v>
      </c>
      <c r="AN11" s="467">
        <f t="shared" si="5"/>
        <v>0</v>
      </c>
      <c r="AO11" s="466">
        <f t="shared" si="5"/>
        <v>0</v>
      </c>
      <c r="AP11" s="467">
        <f t="shared" si="5"/>
        <v>0</v>
      </c>
      <c r="AQ11" s="466">
        <f t="shared" si="5"/>
        <v>0</v>
      </c>
      <c r="AR11" s="467">
        <f t="shared" si="5"/>
        <v>0</v>
      </c>
      <c r="AS11" s="466">
        <f t="shared" si="5"/>
        <v>0</v>
      </c>
      <c r="AT11" s="639">
        <f t="shared" si="5"/>
        <v>0</v>
      </c>
      <c r="AU11" s="466">
        <f t="shared" si="5"/>
        <v>0</v>
      </c>
      <c r="AV11" s="639">
        <f t="shared" si="5"/>
        <v>0</v>
      </c>
      <c r="AW11" s="466">
        <f t="shared" si="5"/>
        <v>0</v>
      </c>
      <c r="AX11" s="634">
        <f t="shared" si="5"/>
        <v>0</v>
      </c>
      <c r="AY11" s="466">
        <f t="shared" si="5"/>
        <v>0</v>
      </c>
      <c r="AZ11" s="468">
        <f t="shared" si="5"/>
        <v>0</v>
      </c>
    </row>
    <row r="12" spans="1:39" ht="17.25" customHeight="1">
      <c r="A12" s="25" t="str">
        <f>'t1'!$A$10</f>
        <v>(a) personale a tempo indeterminato al quale viene applicato un contratto di lavoro di tipo privatistico (es.:tipografico,chimico,edile,metalmeccanico,portierato, ecc.)</v>
      </c>
      <c r="B12" s="7"/>
      <c r="C12" s="5"/>
      <c r="D12" s="5"/>
      <c r="E12" s="5"/>
      <c r="F12" s="5"/>
      <c r="G12" s="5"/>
      <c r="I12" s="5"/>
      <c r="AG12" s="5"/>
      <c r="AH12" s="5"/>
      <c r="AI12" s="5"/>
      <c r="AJ12" s="5"/>
      <c r="AK12" s="5"/>
      <c r="AM12" s="5"/>
    </row>
    <row r="13" ht="11.25">
      <c r="A13" s="25"/>
    </row>
  </sheetData>
  <sheetProtection password="EA98" sheet="1" formatColumns="0" selectLockedCells="1"/>
  <mergeCells count="39">
    <mergeCell ref="AS5:AT5"/>
    <mergeCell ref="AU5:AV5"/>
    <mergeCell ref="AW5:AX5"/>
    <mergeCell ref="A1:AZ1"/>
    <mergeCell ref="AQ4:AR4"/>
    <mergeCell ref="AS4:AT4"/>
    <mergeCell ref="AU4:AV4"/>
    <mergeCell ref="AW4:AX4"/>
    <mergeCell ref="AG5:AH5"/>
    <mergeCell ref="AI5:AJ5"/>
    <mergeCell ref="AK5:AL5"/>
    <mergeCell ref="AM5:AN5"/>
    <mergeCell ref="AO5:AP5"/>
    <mergeCell ref="AQ5:AR5"/>
    <mergeCell ref="AK2:AL2"/>
    <mergeCell ref="AM2:AN2"/>
    <mergeCell ref="AI4:AJ4"/>
    <mergeCell ref="AK4:AL4"/>
    <mergeCell ref="AM4:AN4"/>
    <mergeCell ref="AO4:AP4"/>
    <mergeCell ref="G4:H4"/>
    <mergeCell ref="G5:H5"/>
    <mergeCell ref="M4:N4"/>
    <mergeCell ref="O5:P5"/>
    <mergeCell ref="Q5:R5"/>
    <mergeCell ref="S5:T5"/>
    <mergeCell ref="Q4:R4"/>
    <mergeCell ref="S4:T4"/>
    <mergeCell ref="M5:N5"/>
    <mergeCell ref="K5:L5"/>
    <mergeCell ref="I4:J4"/>
    <mergeCell ref="I5:J5"/>
    <mergeCell ref="K4:L4"/>
    <mergeCell ref="I2:J2"/>
    <mergeCell ref="C5:D5"/>
    <mergeCell ref="E5:F5"/>
    <mergeCell ref="E4:F4"/>
    <mergeCell ref="G2:H2"/>
    <mergeCell ref="O4:P4"/>
  </mergeCells>
  <conditionalFormatting sqref="A8:V10">
    <cfRule type="expression" priority="2" dxfId="3" stopIfTrue="1">
      <formula>$W8&gt;0</formula>
    </cfRule>
  </conditionalFormatting>
  <conditionalFormatting sqref="AG8:AZ10">
    <cfRule type="expression" priority="1"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sheetPr codeName="Foglio19"/>
  <dimension ref="A1:AP12"/>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4"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K1"/>
    </row>
    <row r="2" spans="1:35" ht="27" customHeight="1" thickBot="1">
      <c r="A2" s="6"/>
      <c r="I2" s="1046"/>
      <c r="J2" s="1046"/>
      <c r="K2" s="1046"/>
      <c r="AG2" s="1046"/>
      <c r="AH2" s="1046"/>
      <c r="AI2" s="1046"/>
    </row>
    <row r="3" spans="1:42" ht="12" thickBot="1">
      <c r="A3" s="12"/>
      <c r="B3" s="13"/>
      <c r="C3" s="129" t="s">
        <v>257</v>
      </c>
      <c r="D3" s="14"/>
      <c r="E3" s="14"/>
      <c r="F3" s="14"/>
      <c r="G3" s="14"/>
      <c r="H3" s="14"/>
      <c r="I3" s="14"/>
      <c r="J3" s="125"/>
      <c r="K3" s="125"/>
      <c r="AA3" s="129" t="s">
        <v>257</v>
      </c>
      <c r="AB3" s="14"/>
      <c r="AC3" s="14"/>
      <c r="AD3" s="14"/>
      <c r="AE3" s="14"/>
      <c r="AF3" s="14"/>
      <c r="AG3" s="14"/>
      <c r="AH3" s="125"/>
      <c r="AI3" s="125"/>
      <c r="AK3"/>
      <c r="AL3"/>
      <c r="AM3"/>
      <c r="AN3"/>
      <c r="AO3"/>
      <c r="AP3" s="956"/>
    </row>
    <row r="4" spans="1:42" ht="45.75" thickTop="1">
      <c r="A4" s="26" t="s">
        <v>145</v>
      </c>
      <c r="B4" s="126" t="s">
        <v>73</v>
      </c>
      <c r="C4" s="127" t="s">
        <v>184</v>
      </c>
      <c r="D4" s="127" t="s">
        <v>146</v>
      </c>
      <c r="E4" s="127" t="s">
        <v>438</v>
      </c>
      <c r="F4" s="947" t="s">
        <v>563</v>
      </c>
      <c r="G4" s="948" t="s">
        <v>564</v>
      </c>
      <c r="H4" s="127" t="s">
        <v>111</v>
      </c>
      <c r="I4" s="127" t="s">
        <v>183</v>
      </c>
      <c r="J4" s="127" t="s">
        <v>112</v>
      </c>
      <c r="K4" s="666" t="s">
        <v>76</v>
      </c>
      <c r="AA4" s="127" t="s">
        <v>184</v>
      </c>
      <c r="AB4" s="127" t="s">
        <v>146</v>
      </c>
      <c r="AC4" s="127" t="s">
        <v>438</v>
      </c>
      <c r="AD4" s="947" t="s">
        <v>563</v>
      </c>
      <c r="AE4" s="948" t="s">
        <v>564</v>
      </c>
      <c r="AF4" s="127" t="s">
        <v>111</v>
      </c>
      <c r="AG4" s="127" t="s">
        <v>183</v>
      </c>
      <c r="AH4" s="127" t="s">
        <v>112</v>
      </c>
      <c r="AI4" s="666" t="s">
        <v>76</v>
      </c>
      <c r="AK4" s="957" t="s">
        <v>576</v>
      </c>
      <c r="AL4" s="957"/>
      <c r="AM4" s="957"/>
      <c r="AN4" s="957"/>
      <c r="AO4" s="957"/>
      <c r="AP4" s="1094" t="s">
        <v>577</v>
      </c>
    </row>
    <row r="5" spans="1:42" s="264" customFormat="1" ht="12.75" thickBot="1">
      <c r="A5" s="873" t="s">
        <v>533</v>
      </c>
      <c r="B5" s="284"/>
      <c r="C5" s="285" t="s">
        <v>420</v>
      </c>
      <c r="D5" s="285" t="s">
        <v>416</v>
      </c>
      <c r="E5" s="285" t="s">
        <v>439</v>
      </c>
      <c r="F5" s="285" t="s">
        <v>565</v>
      </c>
      <c r="G5" s="285" t="s">
        <v>566</v>
      </c>
      <c r="H5" s="285" t="s">
        <v>417</v>
      </c>
      <c r="I5" s="285" t="s">
        <v>418</v>
      </c>
      <c r="J5" s="285" t="s">
        <v>419</v>
      </c>
      <c r="K5" s="286"/>
      <c r="AA5" s="285" t="s">
        <v>420</v>
      </c>
      <c r="AB5" s="285" t="s">
        <v>416</v>
      </c>
      <c r="AC5" s="285" t="s">
        <v>439</v>
      </c>
      <c r="AD5" s="285" t="s">
        <v>565</v>
      </c>
      <c r="AE5" s="285" t="s">
        <v>566</v>
      </c>
      <c r="AF5" s="285" t="s">
        <v>417</v>
      </c>
      <c r="AG5" s="285" t="s">
        <v>418</v>
      </c>
      <c r="AH5" s="285" t="s">
        <v>419</v>
      </c>
      <c r="AI5" s="286"/>
      <c r="AK5" s="958">
        <f>COUNTIF($AP$6:$AP$8,"Incongruenza")</f>
        <v>0</v>
      </c>
      <c r="AL5" s="959" t="s">
        <v>110</v>
      </c>
      <c r="AM5" s="959"/>
      <c r="AN5" s="960" t="s">
        <v>578</v>
      </c>
      <c r="AO5" s="960" t="s">
        <v>579</v>
      </c>
      <c r="AP5" s="1095"/>
    </row>
    <row r="6" spans="1:42" ht="12.75" customHeight="1" thickBot="1" thickTop="1">
      <c r="A6" s="24" t="str">
        <f>'t1'!A6</f>
        <v>PERSONALE DIRIGENTE</v>
      </c>
      <c r="B6" s="234" t="str">
        <f>'t1'!B6</f>
        <v>0D00NF</v>
      </c>
      <c r="C6" s="905">
        <f>ROUND(AA6,2)</f>
        <v>0</v>
      </c>
      <c r="D6" s="892">
        <f aca="true" t="shared" si="0" ref="D6:J8">ROUND(AB6,0)</f>
        <v>0</v>
      </c>
      <c r="E6" s="892">
        <f t="shared" si="0"/>
        <v>0</v>
      </c>
      <c r="F6" s="892">
        <f t="shared" si="0"/>
        <v>0</v>
      </c>
      <c r="G6" s="892">
        <f t="shared" si="0"/>
        <v>0</v>
      </c>
      <c r="H6" s="892">
        <f t="shared" si="0"/>
        <v>0</v>
      </c>
      <c r="I6" s="892">
        <f t="shared" si="0"/>
        <v>0</v>
      </c>
      <c r="J6" s="893">
        <f t="shared" si="0"/>
        <v>0</v>
      </c>
      <c r="K6" s="472">
        <f>(D6+E6+F6+G6+H6+I6)-J6</f>
        <v>0</v>
      </c>
      <c r="L6" s="5">
        <f>'t1'!M6</f>
        <v>0</v>
      </c>
      <c r="AA6" s="911"/>
      <c r="AB6" s="212"/>
      <c r="AC6" s="212"/>
      <c r="AD6" s="212"/>
      <c r="AE6" s="212"/>
      <c r="AF6" s="212"/>
      <c r="AG6" s="212"/>
      <c r="AH6" s="213"/>
      <c r="AI6" s="472">
        <f>(AB6+AC6+AD6+AE6+AF6+AG6)-AH6</f>
        <v>0</v>
      </c>
      <c r="AJ6" s="5">
        <f>'t1'!AK6</f>
        <v>0</v>
      </c>
      <c r="AK6"/>
      <c r="AL6" s="5" t="s">
        <v>581</v>
      </c>
      <c r="AM6" s="5" t="s">
        <v>581</v>
      </c>
      <c r="AN6" s="961" t="str">
        <f>IF($AL6="no",(IF($AD6&gt;0,"Incongruenza","OK")),(IF($AD6=0,"OK","ok")))</f>
        <v>OK</v>
      </c>
      <c r="AO6" s="962" t="str">
        <f>IF($AM6="no",(IF($AE6&gt;0,"Incongruenza","OK")),(IF($AE6=0,"OK","ok")))</f>
        <v>OK</v>
      </c>
      <c r="AP6" s="963" t="str">
        <f>IF(AND($AL6="no",$AM6="no",$AE6&gt;0),"Sono stati inseriti importi RIA e/o Progressioni",IF(AND($AL6="no",$AM6="no",$AD6&gt;0)," ",IF(OR($AN6="Incongruenza",$AO6="Incongruenza"),"Incongruenza"," ")))</f>
        <v> </v>
      </c>
    </row>
    <row r="7" spans="1:42" ht="12" customHeight="1" thickBot="1">
      <c r="A7" s="156" t="str">
        <f>'t1'!A7</f>
        <v>PERSONALE NON DIRIGENTE</v>
      </c>
      <c r="B7" s="227" t="str">
        <f>'t1'!B7</f>
        <v>0000ND</v>
      </c>
      <c r="C7" s="905">
        <f>ROUND(AA7,2)</f>
        <v>0</v>
      </c>
      <c r="D7" s="892">
        <f t="shared" si="0"/>
        <v>0</v>
      </c>
      <c r="E7" s="892">
        <f t="shared" si="0"/>
        <v>0</v>
      </c>
      <c r="F7" s="892">
        <f t="shared" si="0"/>
        <v>0</v>
      </c>
      <c r="G7" s="892">
        <f t="shared" si="0"/>
        <v>0</v>
      </c>
      <c r="H7" s="892">
        <f t="shared" si="0"/>
        <v>0</v>
      </c>
      <c r="I7" s="892">
        <f t="shared" si="0"/>
        <v>0</v>
      </c>
      <c r="J7" s="893">
        <f t="shared" si="0"/>
        <v>0</v>
      </c>
      <c r="K7" s="472">
        <f>(D7+E7+F7+G7+H7+I7)-J7</f>
        <v>0</v>
      </c>
      <c r="L7" s="5">
        <f>'t1'!M7</f>
        <v>0</v>
      </c>
      <c r="AA7" s="911"/>
      <c r="AB7" s="212"/>
      <c r="AC7" s="212"/>
      <c r="AD7" s="212"/>
      <c r="AE7" s="212"/>
      <c r="AF7" s="212"/>
      <c r="AG7" s="212"/>
      <c r="AH7" s="213"/>
      <c r="AI7" s="472">
        <f>(AB7+AC7+AD7+AE7+AF7+AG7)-AH7</f>
        <v>0</v>
      </c>
      <c r="AJ7" s="5">
        <f>'t1'!AK7</f>
        <v>0</v>
      </c>
      <c r="AL7" s="5" t="s">
        <v>581</v>
      </c>
      <c r="AM7" s="5" t="s">
        <v>581</v>
      </c>
      <c r="AN7" s="961" t="str">
        <f>IF($AL7="no",(IF($AD7&gt;0,"Incongruenza","OK")),(IF($AD7=0,"OK","ok")))</f>
        <v>OK</v>
      </c>
      <c r="AO7" s="962" t="str">
        <f>IF($AM7="no",(IF($AE7&gt;0,"Incongruenza","OK")),(IF($AE7=0,"OK","ok")))</f>
        <v>OK</v>
      </c>
      <c r="AP7" s="963" t="str">
        <f>IF(AND($AL7="no",$AM7="no",$AE7&gt;0),"Sono stati inseriti importi RIA e/o Progressioni",IF(AND($AL7="no",$AM7="no",$AD7&gt;0)," ",IF(OR($AN7="Incongruenza",$AO7="Incongruenza"),"Incongruenza"," ")))</f>
        <v> </v>
      </c>
    </row>
    <row r="8" spans="1:42" ht="12" customHeight="1" thickBot="1">
      <c r="A8" s="156" t="str">
        <f>'t1'!A8</f>
        <v>CONTRATTISTI (a)</v>
      </c>
      <c r="B8" s="227" t="str">
        <f>'t1'!B8</f>
        <v>000061</v>
      </c>
      <c r="C8" s="905">
        <f>ROUND(AA8,2)</f>
        <v>0</v>
      </c>
      <c r="D8" s="892">
        <f t="shared" si="0"/>
        <v>0</v>
      </c>
      <c r="E8" s="892">
        <f t="shared" si="0"/>
        <v>0</v>
      </c>
      <c r="F8" s="892">
        <f t="shared" si="0"/>
        <v>0</v>
      </c>
      <c r="G8" s="892">
        <f t="shared" si="0"/>
        <v>0</v>
      </c>
      <c r="H8" s="892">
        <f t="shared" si="0"/>
        <v>0</v>
      </c>
      <c r="I8" s="892">
        <f t="shared" si="0"/>
        <v>0</v>
      </c>
      <c r="J8" s="893">
        <f t="shared" si="0"/>
        <v>0</v>
      </c>
      <c r="K8" s="472">
        <f>(D8+E8+F8+G8+H8+I8)-J8</f>
        <v>0</v>
      </c>
      <c r="L8" s="5">
        <f>'t1'!M8</f>
        <v>0</v>
      </c>
      <c r="AA8" s="911"/>
      <c r="AB8" s="212"/>
      <c r="AC8" s="212"/>
      <c r="AD8" s="212"/>
      <c r="AE8" s="212"/>
      <c r="AF8" s="212"/>
      <c r="AG8" s="212"/>
      <c r="AH8" s="213"/>
      <c r="AI8" s="472">
        <f>(AB8+AC8+AD8+AE8+AF8+AG8)-AH8</f>
        <v>0</v>
      </c>
      <c r="AJ8" s="5">
        <f>'t1'!AK8</f>
        <v>0</v>
      </c>
      <c r="AL8" s="5" t="s">
        <v>580</v>
      </c>
      <c r="AM8" s="5" t="s">
        <v>580</v>
      </c>
      <c r="AN8" s="961" t="str">
        <f>IF($AL8="no",(IF($AD8&gt;0,"Incongruenza","OK")),(IF($AD8=0,"OK","ok")))</f>
        <v>OK</v>
      </c>
      <c r="AO8" s="962" t="str">
        <f>IF($AM8="no",(IF($AE8&gt;0,"Incongruenza","OK")),(IF($AE8=0,"OK","ok")))</f>
        <v>OK</v>
      </c>
      <c r="AP8" s="963" t="str">
        <f>IF(AND($AL8="no",$AM8="no",$AE8&gt;0),"Sono stati inseriti importi RIA e/o Progressioni",IF(AND($AL8="no",$AM8="no",$AD8&gt;0)," ",IF(OR($AN8="Incongruenza",$AO8="Incongruenza"),"Incongruenza"," ")))</f>
        <v> </v>
      </c>
    </row>
    <row r="9" spans="1:36" ht="12" customHeight="1" thickBot="1" thickTop="1">
      <c r="A9" s="123" t="s">
        <v>76</v>
      </c>
      <c r="B9" s="124"/>
      <c r="C9" s="513">
        <f aca="true" t="shared" si="1" ref="C9:K9">SUM(C6:C8)</f>
        <v>0</v>
      </c>
      <c r="D9" s="470">
        <f t="shared" si="1"/>
        <v>0</v>
      </c>
      <c r="E9" s="470">
        <f t="shared" si="1"/>
        <v>0</v>
      </c>
      <c r="F9" s="470">
        <f t="shared" si="1"/>
        <v>0</v>
      </c>
      <c r="G9" s="470">
        <f t="shared" si="1"/>
        <v>0</v>
      </c>
      <c r="H9" s="470">
        <f t="shared" si="1"/>
        <v>0</v>
      </c>
      <c r="I9" s="470">
        <f t="shared" si="1"/>
        <v>0</v>
      </c>
      <c r="J9" s="470">
        <f t="shared" si="1"/>
        <v>0</v>
      </c>
      <c r="K9" s="471">
        <f t="shared" si="1"/>
        <v>0</v>
      </c>
      <c r="AA9" s="513">
        <f aca="true" t="shared" si="2" ref="AA9:AJ9">SUM(AA6:AA8)</f>
        <v>0</v>
      </c>
      <c r="AB9" s="470">
        <f t="shared" si="2"/>
        <v>0</v>
      </c>
      <c r="AC9" s="470">
        <f t="shared" si="2"/>
        <v>0</v>
      </c>
      <c r="AD9" s="470">
        <f t="shared" si="2"/>
        <v>0</v>
      </c>
      <c r="AE9" s="470">
        <f t="shared" si="2"/>
        <v>0</v>
      </c>
      <c r="AF9" s="470">
        <f t="shared" si="2"/>
        <v>0</v>
      </c>
      <c r="AG9" s="470">
        <f t="shared" si="2"/>
        <v>0</v>
      </c>
      <c r="AH9" s="470">
        <f t="shared" si="2"/>
        <v>0</v>
      </c>
      <c r="AI9" s="471">
        <f t="shared" si="2"/>
        <v>0</v>
      </c>
      <c r="AJ9" s="949">
        <f t="shared" si="2"/>
        <v>0</v>
      </c>
    </row>
    <row r="10" spans="1:35" s="45" customFormat="1" ht="11.25">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5"/>
      <c r="AA10" s="5"/>
      <c r="AB10" s="5"/>
      <c r="AC10" s="5"/>
      <c r="AD10" s="5"/>
      <c r="AE10" s="5"/>
      <c r="AF10" s="5"/>
      <c r="AG10" s="5"/>
      <c r="AH10" s="5"/>
      <c r="AI10" s="5"/>
    </row>
    <row r="11" ht="11.25">
      <c r="A11" s="5" t="s">
        <v>185</v>
      </c>
    </row>
    <row r="12" ht="11.25">
      <c r="A12" s="5" t="s">
        <v>186</v>
      </c>
    </row>
  </sheetData>
  <sheetProtection password="EA98" sheet="1" formatColumns="0" selectLockedCells="1"/>
  <mergeCells count="4">
    <mergeCell ref="I2:K2"/>
    <mergeCell ref="AG2:AI2"/>
    <mergeCell ref="A1:AI1"/>
    <mergeCell ref="AP4:AP5"/>
  </mergeCells>
  <conditionalFormatting sqref="AA6:AI8 A6:K8">
    <cfRule type="expression" priority="2" dxfId="3" stopIfTrue="1">
      <formula>$L6&gt;0</formula>
    </cfRule>
  </conditionalFormatting>
  <dataValidations count="1">
    <dataValidation type="decimal" allowBlank="1" showInputMessage="1" showErrorMessage="1" sqref="AA6:AA8 C6:C8">
      <formula1>0</formula1>
      <formula2>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S14"/>
  <sheetViews>
    <sheetView showGridLines="0" zoomScalePageLayoutView="0" workbookViewId="0" topLeftCell="A1">
      <pane xSplit="2" ySplit="5" topLeftCell="AG6" activePane="bottomRight" state="frozen"/>
      <selection pane="topLeft" activeCell="A2" sqref="A2"/>
      <selection pane="topRight" activeCell="A2" sqref="A2"/>
      <selection pane="bottomLeft" activeCell="A2" sqref="A2"/>
      <selection pane="bottomRight" activeCell="AG6" sqref="AG6"/>
    </sheetView>
  </sheetViews>
  <sheetFormatPr defaultColWidth="9.33203125" defaultRowHeight="10.5"/>
  <cols>
    <col min="1" max="1" width="45.66015625" style="5" customWidth="1"/>
    <col min="2" max="2" width="8.66015625" style="7" customWidth="1"/>
    <col min="3" max="11" width="15.83203125" style="5" hidden="1" customWidth="1"/>
    <col min="12" max="32" width="9.33203125" style="5" hidden="1" customWidth="1"/>
    <col min="33" max="41" width="15.83203125" style="5" customWidth="1"/>
    <col min="42" max="42" width="0" style="5" hidden="1" customWidth="1"/>
    <col min="43" max="16384" width="9.33203125" style="5" customWidth="1"/>
  </cols>
  <sheetData>
    <row r="1" spans="1:41" ht="36"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c r="AK1" s="1045"/>
      <c r="AL1" s="1045"/>
      <c r="AM1" s="1045"/>
      <c r="AN1" s="1045"/>
      <c r="AO1" s="1045"/>
    </row>
    <row r="2" spans="1:41" ht="27" customHeight="1" thickBot="1">
      <c r="A2" s="6"/>
      <c r="E2" s="111"/>
      <c r="F2" s="111"/>
      <c r="G2" s="111"/>
      <c r="H2" s="111"/>
      <c r="I2" s="111"/>
      <c r="J2" s="111"/>
      <c r="K2" s="477"/>
      <c r="AI2" s="111"/>
      <c r="AJ2" s="111"/>
      <c r="AK2" s="111"/>
      <c r="AL2" s="111"/>
      <c r="AM2" s="111"/>
      <c r="AN2" s="111"/>
      <c r="AO2" s="477"/>
    </row>
    <row r="3" spans="1:41" ht="12" thickBot="1">
      <c r="A3" s="12"/>
      <c r="B3" s="13"/>
      <c r="C3" s="309" t="s">
        <v>257</v>
      </c>
      <c r="D3" s="309"/>
      <c r="E3" s="101"/>
      <c r="F3" s="101"/>
      <c r="G3" s="101"/>
      <c r="H3" s="101"/>
      <c r="I3" s="101"/>
      <c r="J3" s="101"/>
      <c r="K3" s="106"/>
      <c r="AG3" s="309" t="s">
        <v>257</v>
      </c>
      <c r="AH3" s="309"/>
      <c r="AI3" s="101"/>
      <c r="AJ3" s="101"/>
      <c r="AK3" s="101"/>
      <c r="AL3" s="101"/>
      <c r="AM3" s="101"/>
      <c r="AN3" s="101"/>
      <c r="AO3" s="106"/>
    </row>
    <row r="4" spans="1:41" ht="48" customHeight="1" thickTop="1">
      <c r="A4" s="287" t="s">
        <v>145</v>
      </c>
      <c r="B4" s="288" t="s">
        <v>73</v>
      </c>
      <c r="C4" s="813" t="s">
        <v>450</v>
      </c>
      <c r="D4" s="813" t="s">
        <v>346</v>
      </c>
      <c r="E4" s="813" t="s">
        <v>461</v>
      </c>
      <c r="F4" s="814" t="s">
        <v>448</v>
      </c>
      <c r="G4" s="814" t="s">
        <v>462</v>
      </c>
      <c r="H4" s="655" t="s">
        <v>305</v>
      </c>
      <c r="I4" s="814" t="s">
        <v>359</v>
      </c>
      <c r="J4" s="656" t="s">
        <v>306</v>
      </c>
      <c r="K4" s="120" t="s">
        <v>156</v>
      </c>
      <c r="AG4" s="813" t="s">
        <v>450</v>
      </c>
      <c r="AH4" s="813" t="s">
        <v>346</v>
      </c>
      <c r="AI4" s="813" t="s">
        <v>461</v>
      </c>
      <c r="AJ4" s="814" t="s">
        <v>448</v>
      </c>
      <c r="AK4" s="814" t="s">
        <v>462</v>
      </c>
      <c r="AL4" s="655" t="s">
        <v>305</v>
      </c>
      <c r="AM4" s="814" t="s">
        <v>359</v>
      </c>
      <c r="AN4" s="656" t="s">
        <v>306</v>
      </c>
      <c r="AO4" s="120" t="s">
        <v>156</v>
      </c>
    </row>
    <row r="5" spans="1:41" ht="14.25" customHeight="1" thickBot="1">
      <c r="A5" s="859" t="s">
        <v>533</v>
      </c>
      <c r="B5" s="121"/>
      <c r="C5" s="480" t="s">
        <v>451</v>
      </c>
      <c r="D5" s="480" t="s">
        <v>452</v>
      </c>
      <c r="E5" s="480" t="s">
        <v>463</v>
      </c>
      <c r="F5" s="481" t="s">
        <v>449</v>
      </c>
      <c r="G5" s="481" t="s">
        <v>464</v>
      </c>
      <c r="H5" s="481" t="s">
        <v>282</v>
      </c>
      <c r="I5" s="481" t="s">
        <v>515</v>
      </c>
      <c r="J5" s="481" t="s">
        <v>283</v>
      </c>
      <c r="K5" s="122" t="s">
        <v>110</v>
      </c>
      <c r="AG5" s="480" t="s">
        <v>451</v>
      </c>
      <c r="AH5" s="480" t="s">
        <v>452</v>
      </c>
      <c r="AI5" s="480" t="s">
        <v>463</v>
      </c>
      <c r="AJ5" s="481" t="s">
        <v>449</v>
      </c>
      <c r="AK5" s="481" t="s">
        <v>464</v>
      </c>
      <c r="AL5" s="481" t="s">
        <v>282</v>
      </c>
      <c r="AM5" s="481" t="s">
        <v>515</v>
      </c>
      <c r="AN5" s="481" t="s">
        <v>283</v>
      </c>
      <c r="AO5" s="122" t="s">
        <v>110</v>
      </c>
    </row>
    <row r="6" spans="1:42" ht="12.75" customHeight="1" thickTop="1">
      <c r="A6" s="24" t="str">
        <f>'t1'!A6</f>
        <v>PERSONALE DIRIGENTE</v>
      </c>
      <c r="B6" s="234" t="str">
        <f>'t1'!B6</f>
        <v>0D00NF</v>
      </c>
      <c r="C6" s="894">
        <f aca="true" t="shared" si="0" ref="C6:D8">ROUND(AG6,0)</f>
        <v>0</v>
      </c>
      <c r="D6" s="892">
        <f t="shared" si="0"/>
        <v>0</v>
      </c>
      <c r="E6" s="895">
        <f aca="true" t="shared" si="1" ref="E6:J8">ROUND(AI6,0)</f>
        <v>0</v>
      </c>
      <c r="F6" s="895">
        <f t="shared" si="1"/>
        <v>0</v>
      </c>
      <c r="G6" s="895">
        <f t="shared" si="1"/>
        <v>0</v>
      </c>
      <c r="H6" s="895">
        <f t="shared" si="1"/>
        <v>0</v>
      </c>
      <c r="I6" s="895">
        <f t="shared" si="1"/>
        <v>0</v>
      </c>
      <c r="J6" s="895">
        <f t="shared" si="1"/>
        <v>0</v>
      </c>
      <c r="K6" s="474">
        <f>SUM(C6:J6)</f>
        <v>0</v>
      </c>
      <c r="L6" s="5">
        <f>'t1'!M6</f>
        <v>0</v>
      </c>
      <c r="AG6" s="214"/>
      <c r="AH6" s="212"/>
      <c r="AI6" s="215"/>
      <c r="AJ6" s="215"/>
      <c r="AK6" s="215"/>
      <c r="AL6" s="215"/>
      <c r="AM6" s="215"/>
      <c r="AN6" s="215"/>
      <c r="AO6" s="474">
        <f>SUM(AG6:AN6)</f>
        <v>0</v>
      </c>
      <c r="AP6" s="5">
        <f>'t1'!AQ6</f>
        <v>0</v>
      </c>
    </row>
    <row r="7" spans="1:42" ht="12.75" customHeight="1">
      <c r="A7" s="156" t="str">
        <f>'t1'!A7</f>
        <v>PERSONALE NON DIRIGENTE</v>
      </c>
      <c r="B7" s="227" t="str">
        <f>'t1'!B7</f>
        <v>0000ND</v>
      </c>
      <c r="C7" s="894">
        <f t="shared" si="0"/>
        <v>0</v>
      </c>
      <c r="D7" s="892">
        <f t="shared" si="0"/>
        <v>0</v>
      </c>
      <c r="E7" s="895">
        <f t="shared" si="1"/>
        <v>0</v>
      </c>
      <c r="F7" s="895">
        <f t="shared" si="1"/>
        <v>0</v>
      </c>
      <c r="G7" s="895">
        <f t="shared" si="1"/>
        <v>0</v>
      </c>
      <c r="H7" s="895">
        <f t="shared" si="1"/>
        <v>0</v>
      </c>
      <c r="I7" s="895">
        <f t="shared" si="1"/>
        <v>0</v>
      </c>
      <c r="J7" s="895">
        <f t="shared" si="1"/>
        <v>0</v>
      </c>
      <c r="K7" s="474">
        <f>SUM(C7:J7)</f>
        <v>0</v>
      </c>
      <c r="L7" s="5">
        <f>'t1'!M7</f>
        <v>0</v>
      </c>
      <c r="AG7" s="214"/>
      <c r="AH7" s="212"/>
      <c r="AI7" s="215"/>
      <c r="AJ7" s="215"/>
      <c r="AK7" s="215"/>
      <c r="AL7" s="215"/>
      <c r="AM7" s="215"/>
      <c r="AN7" s="215"/>
      <c r="AO7" s="474">
        <f>SUM(AG7:AN7)</f>
        <v>0</v>
      </c>
      <c r="AP7" s="5">
        <f>'t1'!AQ7</f>
        <v>0</v>
      </c>
    </row>
    <row r="8" spans="1:42" ht="12.75" customHeight="1" thickBot="1">
      <c r="A8" s="156" t="str">
        <f>'t1'!A8</f>
        <v>CONTRATTISTI (a)</v>
      </c>
      <c r="B8" s="227" t="str">
        <f>'t1'!B8</f>
        <v>000061</v>
      </c>
      <c r="C8" s="894">
        <f t="shared" si="0"/>
        <v>0</v>
      </c>
      <c r="D8" s="892">
        <f t="shared" si="0"/>
        <v>0</v>
      </c>
      <c r="E8" s="895">
        <f t="shared" si="1"/>
        <v>0</v>
      </c>
      <c r="F8" s="895">
        <f t="shared" si="1"/>
        <v>0</v>
      </c>
      <c r="G8" s="895">
        <f t="shared" si="1"/>
        <v>0</v>
      </c>
      <c r="H8" s="895">
        <f t="shared" si="1"/>
        <v>0</v>
      </c>
      <c r="I8" s="895">
        <f t="shared" si="1"/>
        <v>0</v>
      </c>
      <c r="J8" s="895">
        <f t="shared" si="1"/>
        <v>0</v>
      </c>
      <c r="K8" s="474">
        <f>SUM(C8:J8)</f>
        <v>0</v>
      </c>
      <c r="L8" s="5">
        <f>'t1'!M8</f>
        <v>0</v>
      </c>
      <c r="AG8" s="214"/>
      <c r="AH8" s="212"/>
      <c r="AI8" s="215"/>
      <c r="AJ8" s="215"/>
      <c r="AK8" s="215"/>
      <c r="AL8" s="215"/>
      <c r="AM8" s="215"/>
      <c r="AN8" s="215"/>
      <c r="AO8" s="474">
        <f>SUM(AG8:AN8)</f>
        <v>0</v>
      </c>
      <c r="AP8" s="5">
        <f>'t1'!AQ8</f>
        <v>0</v>
      </c>
    </row>
    <row r="9" spans="1:41" ht="15" customHeight="1" thickBot="1" thickTop="1">
      <c r="A9" s="166" t="s">
        <v>76</v>
      </c>
      <c r="B9" s="124"/>
      <c r="C9" s="473">
        <f aca="true" t="shared" si="2" ref="C9:K9">SUM(C6:C8)</f>
        <v>0</v>
      </c>
      <c r="D9" s="473">
        <f t="shared" si="2"/>
        <v>0</v>
      </c>
      <c r="E9" s="473">
        <f t="shared" si="2"/>
        <v>0</v>
      </c>
      <c r="F9" s="473">
        <f t="shared" si="2"/>
        <v>0</v>
      </c>
      <c r="G9" s="473">
        <f t="shared" si="2"/>
        <v>0</v>
      </c>
      <c r="H9" s="473">
        <f t="shared" si="2"/>
        <v>0</v>
      </c>
      <c r="I9" s="473">
        <f>SUM(I6:I8)</f>
        <v>0</v>
      </c>
      <c r="J9" s="473">
        <f t="shared" si="2"/>
        <v>0</v>
      </c>
      <c r="K9" s="471">
        <f t="shared" si="2"/>
        <v>0</v>
      </c>
      <c r="AG9" s="473">
        <f aca="true" t="shared" si="3" ref="AG9:AL9">SUM(AG6:AG8)</f>
        <v>0</v>
      </c>
      <c r="AH9" s="473">
        <f t="shared" si="3"/>
        <v>0</v>
      </c>
      <c r="AI9" s="473">
        <f t="shared" si="3"/>
        <v>0</v>
      </c>
      <c r="AJ9" s="473">
        <f t="shared" si="3"/>
        <v>0</v>
      </c>
      <c r="AK9" s="473">
        <f t="shared" si="3"/>
        <v>0</v>
      </c>
      <c r="AL9" s="473">
        <f t="shared" si="3"/>
        <v>0</v>
      </c>
      <c r="AM9" s="473">
        <f>SUM(AM6:AM8)</f>
        <v>0</v>
      </c>
      <c r="AN9" s="473">
        <f>SUM(AN6:AN8)</f>
        <v>0</v>
      </c>
      <c r="AO9" s="471">
        <f>SUM(AO6:AO8)</f>
        <v>0</v>
      </c>
    </row>
    <row r="10" spans="1:45" ht="11.25">
      <c r="A10" s="25" t="str">
        <f>'t1'!$A$10</f>
        <v>(a) personale a tempo indeterminato al quale viene applicato un contratto di lavoro di tipo privatistico (es.:tipografico,chimico,edile,metalmeccanico,portierato, ecc.)</v>
      </c>
      <c r="K10" s="45"/>
      <c r="L10" s="45"/>
      <c r="M10" s="45"/>
      <c r="N10" s="45"/>
      <c r="O10" s="45"/>
      <c r="AO10" s="45"/>
      <c r="AP10" s="45"/>
      <c r="AQ10" s="45"/>
      <c r="AR10" s="45"/>
      <c r="AS10" s="45"/>
    </row>
    <row r="11" spans="1:45" ht="11.25">
      <c r="A11" s="5" t="s">
        <v>185</v>
      </c>
      <c r="B11" s="62"/>
      <c r="C11" s="60"/>
      <c r="D11" s="60"/>
      <c r="E11" s="60"/>
      <c r="F11" s="60"/>
      <c r="G11" s="60"/>
      <c r="H11" s="60"/>
      <c r="I11" s="60"/>
      <c r="J11" s="60"/>
      <c r="K11" s="60"/>
      <c r="L11" s="60"/>
      <c r="M11" s="60"/>
      <c r="N11" s="60"/>
      <c r="O11" s="60"/>
      <c r="AG11" s="60"/>
      <c r="AH11" s="60"/>
      <c r="AI11" s="60"/>
      <c r="AJ11" s="60"/>
      <c r="AK11" s="60"/>
      <c r="AL11" s="60"/>
      <c r="AM11" s="60"/>
      <c r="AN11" s="60"/>
      <c r="AO11" s="60"/>
      <c r="AP11" s="60"/>
      <c r="AQ11" s="60"/>
      <c r="AR11" s="60"/>
      <c r="AS11" s="60"/>
    </row>
    <row r="12" ht="11.25">
      <c r="A12" s="158"/>
    </row>
    <row r="13" ht="11.25">
      <c r="A13" s="158"/>
    </row>
    <row r="14" ht="11.25">
      <c r="A14" s="3"/>
    </row>
  </sheetData>
  <sheetProtection password="EA98" sheet="1" formatColumns="0" selectLockedCells="1"/>
  <mergeCells count="1">
    <mergeCell ref="A1:AO1"/>
  </mergeCells>
  <conditionalFormatting sqref="A6:K8 AG6:AO8">
    <cfRule type="expression" priority="1" dxfId="3" stopIfTrue="1">
      <formula>$L6&gt;0</formula>
    </cfRule>
  </conditionalFormatting>
  <dataValidations count="1">
    <dataValidation type="whole" allowBlank="1" showInputMessage="1" showErrorMessage="1" errorTitle="ERRORE NEL DATO IMMESSO" error="INSERIRE SOLO NUMERI INTERI" sqref="AG6:AN8">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3" style="0" customWidth="1"/>
    <col min="6" max="6" width="12.5" style="0" bestFit="1" customWidth="1"/>
    <col min="7" max="7" width="0" style="0" hidden="1" customWidth="1"/>
  </cols>
  <sheetData>
    <row r="1" spans="1:14" s="5" customFormat="1" ht="43.5" customHeight="1">
      <c r="A1" s="1045" t="str">
        <f>'t1'!A1</f>
        <v>ENTI ART. 60 - anno 2019</v>
      </c>
      <c r="B1" s="1045"/>
      <c r="C1" s="1045"/>
      <c r="D1" s="1045"/>
      <c r="E1" s="3"/>
      <c r="F1" s="3"/>
      <c r="G1" s="3"/>
      <c r="H1" s="4"/>
      <c r="I1" s="3"/>
      <c r="J1" s="3"/>
      <c r="K1" s="3"/>
      <c r="L1" s="3"/>
      <c r="N1"/>
    </row>
    <row r="2" spans="1:4" ht="30" customHeight="1" thickBot="1">
      <c r="A2" s="6"/>
      <c r="B2" s="1096">
        <f>IF(AND(A32="",(D25+D26+D27+D28+D29)&gt;0),"ATTENZIONE!  Inserire nel campo NOTE l'elenco delle Istituzioni ed il relativo importo dei rimborsi",IF(AND(A32&lt;&gt;"",(D25+D26+D27+D28+D29)=0),"ATTENZIONE!  il campo NOTE non deve essere compilato in assenza di rimborsi",""))</f>
      </c>
      <c r="C2" s="1096"/>
      <c r="D2" s="1096"/>
    </row>
    <row r="3" spans="1:4" ht="21.75" customHeight="1" thickBot="1">
      <c r="A3" s="112" t="s">
        <v>131</v>
      </c>
      <c r="B3" s="289" t="s">
        <v>104</v>
      </c>
      <c r="C3" s="896"/>
      <c r="D3" s="290" t="s">
        <v>106</v>
      </c>
    </row>
    <row r="4" spans="1:4" s="114" customFormat="1" ht="23.25" customHeight="1" thickTop="1">
      <c r="A4" s="113" t="s">
        <v>153</v>
      </c>
      <c r="B4" s="173" t="s">
        <v>157</v>
      </c>
      <c r="C4" s="897">
        <f>ROUND(D4,0)</f>
        <v>0</v>
      </c>
      <c r="D4" s="216"/>
    </row>
    <row r="5" spans="1:4" s="114" customFormat="1" ht="23.25" customHeight="1">
      <c r="A5" s="117" t="s">
        <v>383</v>
      </c>
      <c r="B5" s="174" t="s">
        <v>169</v>
      </c>
      <c r="C5" s="898">
        <f aca="true" t="shared" si="0" ref="C5:C29">ROUND(D5,0)</f>
        <v>0</v>
      </c>
      <c r="D5" s="216"/>
    </row>
    <row r="6" spans="1:4" s="114" customFormat="1" ht="23.25" customHeight="1">
      <c r="A6" s="117" t="s">
        <v>147</v>
      </c>
      <c r="B6" s="163" t="s">
        <v>170</v>
      </c>
      <c r="C6" s="897">
        <f t="shared" si="0"/>
        <v>0</v>
      </c>
      <c r="D6" s="216"/>
    </row>
    <row r="7" spans="1:4" s="114" customFormat="1" ht="23.25" customHeight="1">
      <c r="A7" s="117" t="s">
        <v>151</v>
      </c>
      <c r="B7" s="175" t="s">
        <v>171</v>
      </c>
      <c r="C7" s="898">
        <f t="shared" si="0"/>
        <v>0</v>
      </c>
      <c r="D7" s="216"/>
    </row>
    <row r="8" spans="1:4" s="114" customFormat="1" ht="23.25" customHeight="1">
      <c r="A8" s="118" t="s">
        <v>150</v>
      </c>
      <c r="B8" s="163" t="s">
        <v>172</v>
      </c>
      <c r="C8" s="897">
        <f t="shared" si="0"/>
        <v>0</v>
      </c>
      <c r="D8" s="216"/>
    </row>
    <row r="9" spans="1:4" s="114" customFormat="1" ht="23.25" customHeight="1">
      <c r="A9" s="141" t="s">
        <v>149</v>
      </c>
      <c r="B9" s="175" t="s">
        <v>173</v>
      </c>
      <c r="C9" s="898">
        <f t="shared" si="0"/>
        <v>0</v>
      </c>
      <c r="D9" s="217"/>
    </row>
    <row r="10" spans="1:4" s="114" customFormat="1" ht="23.25" customHeight="1">
      <c r="A10" s="176" t="s">
        <v>384</v>
      </c>
      <c r="B10" s="163" t="s">
        <v>161</v>
      </c>
      <c r="C10" s="897">
        <f t="shared" si="0"/>
        <v>0</v>
      </c>
      <c r="D10" s="216"/>
    </row>
    <row r="11" spans="1:4" s="114" customFormat="1" ht="23.25" customHeight="1">
      <c r="A11" s="118" t="s">
        <v>174</v>
      </c>
      <c r="B11" s="162" t="s">
        <v>175</v>
      </c>
      <c r="C11" s="897">
        <f t="shared" si="0"/>
        <v>0</v>
      </c>
      <c r="D11" s="216"/>
    </row>
    <row r="12" spans="1:4" s="114" customFormat="1" ht="23.25" customHeight="1">
      <c r="A12" s="118" t="s">
        <v>51</v>
      </c>
      <c r="B12" s="162" t="s">
        <v>177</v>
      </c>
      <c r="C12" s="897">
        <f t="shared" si="0"/>
        <v>0</v>
      </c>
      <c r="D12" s="216"/>
    </row>
    <row r="13" spans="1:4" s="114" customFormat="1" ht="23.25" customHeight="1">
      <c r="A13" s="118" t="s">
        <v>385</v>
      </c>
      <c r="B13" s="163" t="s">
        <v>188</v>
      </c>
      <c r="C13" s="897">
        <f t="shared" si="0"/>
        <v>0</v>
      </c>
      <c r="D13" s="216"/>
    </row>
    <row r="14" spans="1:4" s="114" customFormat="1" ht="23.25" customHeight="1">
      <c r="A14" s="118" t="s">
        <v>2</v>
      </c>
      <c r="B14" s="163" t="s">
        <v>3</v>
      </c>
      <c r="C14" s="897">
        <f t="shared" si="0"/>
        <v>0</v>
      </c>
      <c r="D14" s="216"/>
    </row>
    <row r="15" spans="1:4" s="114" customFormat="1" ht="23.25" customHeight="1">
      <c r="A15" s="141" t="s">
        <v>108</v>
      </c>
      <c r="B15" s="175" t="s">
        <v>176</v>
      </c>
      <c r="C15" s="898">
        <f t="shared" si="0"/>
        <v>0</v>
      </c>
      <c r="D15" s="217"/>
    </row>
    <row r="16" spans="1:4" s="114" customFormat="1" ht="23.25" customHeight="1">
      <c r="A16" s="176" t="s">
        <v>386</v>
      </c>
      <c r="B16" s="174" t="s">
        <v>158</v>
      </c>
      <c r="C16" s="899">
        <f t="shared" si="0"/>
        <v>0</v>
      </c>
      <c r="D16" s="217"/>
    </row>
    <row r="17" spans="1:4" s="114" customFormat="1" ht="23.25" customHeight="1">
      <c r="A17" s="119" t="s">
        <v>387</v>
      </c>
      <c r="B17" s="163" t="s">
        <v>159</v>
      </c>
      <c r="C17" s="897">
        <f t="shared" si="0"/>
        <v>0</v>
      </c>
      <c r="D17" s="216"/>
    </row>
    <row r="18" spans="1:4" s="116" customFormat="1" ht="23.25" customHeight="1">
      <c r="A18" s="115" t="s">
        <v>148</v>
      </c>
      <c r="B18" s="162" t="s">
        <v>168</v>
      </c>
      <c r="C18" s="897">
        <f t="shared" si="0"/>
        <v>0</v>
      </c>
      <c r="D18" s="217"/>
    </row>
    <row r="19" spans="1:4" s="116" customFormat="1" ht="23.25" customHeight="1">
      <c r="A19" s="805" t="s">
        <v>504</v>
      </c>
      <c r="B19" s="806" t="s">
        <v>505</v>
      </c>
      <c r="C19" s="900">
        <f t="shared" si="0"/>
        <v>0</v>
      </c>
      <c r="D19" s="216"/>
    </row>
    <row r="20" spans="1:7" s="5" customFormat="1" ht="23.25" customHeight="1">
      <c r="A20" s="113" t="s">
        <v>388</v>
      </c>
      <c r="B20" s="163" t="s">
        <v>164</v>
      </c>
      <c r="C20" s="897">
        <f t="shared" si="0"/>
        <v>0</v>
      </c>
      <c r="D20" s="216"/>
      <c r="G20" s="807" t="s">
        <v>506</v>
      </c>
    </row>
    <row r="21" spans="1:7" s="116" customFormat="1" ht="23.25" customHeight="1">
      <c r="A21" s="113" t="s">
        <v>389</v>
      </c>
      <c r="B21" s="175" t="s">
        <v>165</v>
      </c>
      <c r="C21" s="898">
        <f t="shared" si="0"/>
        <v>0</v>
      </c>
      <c r="D21" s="216"/>
      <c r="G21" s="808" t="s">
        <v>507</v>
      </c>
    </row>
    <row r="22" spans="1:7" s="116" customFormat="1" ht="23.25" customHeight="1">
      <c r="A22" s="113" t="s">
        <v>107</v>
      </c>
      <c r="B22" s="163" t="s">
        <v>166</v>
      </c>
      <c r="C22" s="897">
        <f t="shared" si="0"/>
        <v>0</v>
      </c>
      <c r="D22" s="216"/>
      <c r="F22" s="809" t="s">
        <v>508</v>
      </c>
      <c r="G22" s="810">
        <v>2</v>
      </c>
    </row>
    <row r="23" spans="1:4" s="116" customFormat="1" ht="23.25" customHeight="1">
      <c r="A23" s="113" t="s">
        <v>390</v>
      </c>
      <c r="B23" s="175" t="s">
        <v>160</v>
      </c>
      <c r="C23" s="898">
        <f t="shared" si="0"/>
        <v>0</v>
      </c>
      <c r="D23" s="216"/>
    </row>
    <row r="24" spans="1:4" s="116" customFormat="1" ht="23.25" customHeight="1">
      <c r="A24" s="819" t="s">
        <v>517</v>
      </c>
      <c r="B24" s="163" t="s">
        <v>162</v>
      </c>
      <c r="C24" s="901">
        <f t="shared" si="0"/>
        <v>0</v>
      </c>
      <c r="D24" s="218"/>
    </row>
    <row r="25" spans="1:4" s="116" customFormat="1" ht="23.25" customHeight="1">
      <c r="A25" s="177" t="s">
        <v>402</v>
      </c>
      <c r="B25" s="162" t="s">
        <v>163</v>
      </c>
      <c r="C25" s="902">
        <f t="shared" si="0"/>
        <v>0</v>
      </c>
      <c r="D25" s="218"/>
    </row>
    <row r="26" spans="1:4" s="116" customFormat="1" ht="23.25" customHeight="1">
      <c r="A26" s="177" t="s">
        <v>403</v>
      </c>
      <c r="B26" s="162" t="s">
        <v>404</v>
      </c>
      <c r="C26" s="902">
        <f t="shared" si="0"/>
        <v>0</v>
      </c>
      <c r="D26" s="218"/>
    </row>
    <row r="27" spans="1:4" s="116" customFormat="1" ht="23.25" customHeight="1">
      <c r="A27" s="677" t="s">
        <v>428</v>
      </c>
      <c r="B27" s="162" t="s">
        <v>391</v>
      </c>
      <c r="C27" s="902">
        <f t="shared" si="0"/>
        <v>0</v>
      </c>
      <c r="D27" s="218"/>
    </row>
    <row r="28" spans="1:4" s="116" customFormat="1" ht="23.25" customHeight="1">
      <c r="A28" s="676" t="s">
        <v>427</v>
      </c>
      <c r="B28" s="163" t="s">
        <v>167</v>
      </c>
      <c r="C28" s="903">
        <f t="shared" si="0"/>
        <v>0</v>
      </c>
      <c r="D28" s="217"/>
    </row>
    <row r="29" spans="1:4" s="116" customFormat="1" ht="23.25" customHeight="1" thickBot="1">
      <c r="A29" s="679" t="s">
        <v>429</v>
      </c>
      <c r="B29" s="164" t="s">
        <v>405</v>
      </c>
      <c r="C29" s="904">
        <f t="shared" si="0"/>
        <v>0</v>
      </c>
      <c r="D29" s="219"/>
    </row>
    <row r="30" spans="1:4" s="116" customFormat="1" ht="15" customHeight="1" thickBot="1">
      <c r="A30" s="1103" t="str">
        <f>IF(G22=1,"ATTENZIONE è stata dichiarata IRAP commerciale. Controllare l'importo inserito!"," ")</f>
        <v> </v>
      </c>
      <c r="B30" s="1103"/>
      <c r="C30" s="1103"/>
      <c r="D30" s="1103"/>
    </row>
    <row r="31" spans="1:4" s="116" customFormat="1" ht="15" customHeight="1">
      <c r="A31" s="1100" t="s">
        <v>493</v>
      </c>
      <c r="B31" s="1101"/>
      <c r="C31" s="1101"/>
      <c r="D31" s="1102"/>
    </row>
    <row r="32" spans="1:8" s="116" customFormat="1" ht="94.5" customHeight="1" thickBot="1">
      <c r="A32" s="1097"/>
      <c r="B32" s="1098"/>
      <c r="C32" s="1098"/>
      <c r="D32" s="1099"/>
      <c r="E32" s="1104">
        <f>IF(AND(A32="",(D25+D26)&gt;0),"ATTENZIONE!  Inserire nel campo NOTE l'elenco delle Istituzioni ed il relativo importo dei rimborsi EFFETTUATI!",IF(AND(A32&lt;&gt;"",(D25+D26)=0),"ATTENZIONE!  il campo NOTE non deve essere compilato in assenza di rimborsi",""))</f>
      </c>
      <c r="F32" s="1105"/>
      <c r="G32" s="1105"/>
      <c r="H32" s="1105"/>
    </row>
    <row r="33" spans="1:4" s="116" customFormat="1" ht="15" customHeight="1" thickBot="1">
      <c r="A33" s="1103"/>
      <c r="B33" s="1103"/>
      <c r="C33" s="1103"/>
      <c r="D33" s="1103"/>
    </row>
    <row r="34" spans="1:4" s="116" customFormat="1" ht="15" customHeight="1">
      <c r="A34" s="1100" t="s">
        <v>494</v>
      </c>
      <c r="B34" s="1101"/>
      <c r="C34" s="1101"/>
      <c r="D34" s="1102"/>
    </row>
    <row r="35" spans="1:8" s="116" customFormat="1" ht="94.5" customHeight="1" thickBot="1">
      <c r="A35" s="1097"/>
      <c r="B35" s="1098"/>
      <c r="C35" s="1098"/>
      <c r="D35" s="1099"/>
      <c r="E35" s="1104">
        <f>IF(AND(A35="",(D27+D28+D29)&gt;0),"ATTENZIONE!  Inserire nel campo NOTE l'elenco delle Istituzioni ed il relativo importo dei rimborsi RICEVUTI!",IF(AND(A35&lt;&gt;"",(D27+D28+D29)=0),"ATTENZIONE!  il campo NOTE non deve essere compilato in assenza di rimborsi",""))</f>
      </c>
      <c r="F35" s="1105"/>
      <c r="G35" s="1105"/>
      <c r="H35" s="1105"/>
    </row>
    <row r="36" spans="1:3" s="116" customFormat="1" ht="23.25" customHeight="1">
      <c r="A36" s="5" t="s">
        <v>430</v>
      </c>
      <c r="B36"/>
      <c r="C36"/>
    </row>
    <row r="37" spans="1:4" ht="25.5" customHeight="1">
      <c r="A37" s="1106" t="s">
        <v>495</v>
      </c>
      <c r="B37" s="1106"/>
      <c r="C37" s="1106"/>
      <c r="D37" s="1106"/>
    </row>
    <row r="38" spans="1:4" ht="25.5" customHeight="1">
      <c r="A38" s="1106" t="s">
        <v>496</v>
      </c>
      <c r="B38" s="1106"/>
      <c r="C38" s="1106"/>
      <c r="D38" s="1106"/>
    </row>
    <row r="53" ht="10.5">
      <c r="A53" s="678"/>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1045" t="str">
        <f>'t1'!A1</f>
        <v>ENTI ART. 60 - anno 2019</v>
      </c>
      <c r="B1" s="1045"/>
      <c r="C1" s="1107"/>
      <c r="D1" s="1107"/>
      <c r="E1" s="768"/>
      <c r="F1" s="4"/>
      <c r="G1" s="768"/>
      <c r="H1" s="768"/>
      <c r="I1" s="768"/>
      <c r="J1" s="768"/>
      <c r="L1" s="362"/>
    </row>
    <row r="2" spans="1:4" ht="30" customHeight="1" thickBot="1">
      <c r="A2" s="1108" t="str">
        <f>IF(B31&gt;0,IF($F$32&gt;0," ","Attenzione: Compilare la presente Tabella"),IF(C31=0," "," "))</f>
        <v> </v>
      </c>
      <c r="B2" s="1108"/>
      <c r="C2" s="1109"/>
      <c r="D2" s="1109"/>
    </row>
    <row r="3" spans="1:4" ht="21.75" customHeight="1" thickBot="1">
      <c r="A3" s="769" t="s">
        <v>473</v>
      </c>
      <c r="B3" s="770" t="s">
        <v>474</v>
      </c>
      <c r="C3" s="770" t="s">
        <v>475</v>
      </c>
      <c r="D3" s="771" t="s">
        <v>421</v>
      </c>
    </row>
    <row r="4" spans="1:5" s="775" customFormat="1" ht="23.25" customHeight="1">
      <c r="A4" s="772" t="s">
        <v>476</v>
      </c>
      <c r="B4" s="773">
        <f>'t12'!K9</f>
        <v>0</v>
      </c>
      <c r="C4" s="1110"/>
      <c r="D4" s="1112"/>
      <c r="E4" s="774" t="s">
        <v>477</v>
      </c>
    </row>
    <row r="5" spans="1:5" s="775" customFormat="1" ht="23.25" customHeight="1">
      <c r="A5" s="677" t="s">
        <v>478</v>
      </c>
      <c r="B5" s="776">
        <f>'t13'!K9</f>
        <v>0</v>
      </c>
      <c r="C5" s="1111"/>
      <c r="D5" s="1113"/>
      <c r="E5" s="774" t="s">
        <v>479</v>
      </c>
    </row>
    <row r="6" spans="1:5" s="775" customFormat="1" ht="23.25" customHeight="1">
      <c r="A6" s="677" t="s">
        <v>480</v>
      </c>
      <c r="B6" s="776">
        <f>'t14'!D4</f>
        <v>0</v>
      </c>
      <c r="C6" s="1111"/>
      <c r="D6" s="1113"/>
      <c r="E6" s="774" t="s">
        <v>479</v>
      </c>
    </row>
    <row r="7" spans="1:5" s="775" customFormat="1" ht="23.25" customHeight="1">
      <c r="A7" s="677" t="s">
        <v>481</v>
      </c>
      <c r="B7" s="941"/>
      <c r="C7" s="939"/>
      <c r="D7" s="940"/>
      <c r="E7" s="774" t="s">
        <v>169</v>
      </c>
    </row>
    <row r="8" spans="1:5" s="775" customFormat="1" ht="23.25" customHeight="1">
      <c r="A8" s="677" t="s">
        <v>147</v>
      </c>
      <c r="B8" s="941"/>
      <c r="C8" s="941"/>
      <c r="D8" s="942"/>
      <c r="E8" s="774" t="s">
        <v>170</v>
      </c>
    </row>
    <row r="9" spans="1:5" s="775" customFormat="1" ht="23.25" customHeight="1">
      <c r="A9" s="777" t="s">
        <v>151</v>
      </c>
      <c r="B9" s="941"/>
      <c r="C9" s="941"/>
      <c r="D9" s="942"/>
      <c r="E9" s="774" t="s">
        <v>171</v>
      </c>
    </row>
    <row r="10" spans="1:5" s="775" customFormat="1" ht="23.25" customHeight="1">
      <c r="A10" s="677" t="s">
        <v>150</v>
      </c>
      <c r="B10" s="941"/>
      <c r="C10" s="941"/>
      <c r="D10" s="942"/>
      <c r="E10" s="774" t="s">
        <v>172</v>
      </c>
    </row>
    <row r="11" spans="1:5" s="775" customFormat="1" ht="23.25" customHeight="1">
      <c r="A11" s="677" t="s">
        <v>149</v>
      </c>
      <c r="B11" s="941"/>
      <c r="C11" s="941"/>
      <c r="D11" s="942"/>
      <c r="E11" s="774" t="s">
        <v>173</v>
      </c>
    </row>
    <row r="12" spans="1:5" s="775" customFormat="1" ht="23.25" customHeight="1">
      <c r="A12" s="677" t="s">
        <v>497</v>
      </c>
      <c r="B12" s="941"/>
      <c r="C12" s="941"/>
      <c r="D12" s="942"/>
      <c r="E12" s="774" t="s">
        <v>161</v>
      </c>
    </row>
    <row r="13" spans="1:5" s="775" customFormat="1" ht="23.25" customHeight="1">
      <c r="A13" s="677" t="s">
        <v>498</v>
      </c>
      <c r="B13" s="941"/>
      <c r="C13" s="941"/>
      <c r="D13" s="942"/>
      <c r="E13" s="774" t="s">
        <v>160</v>
      </c>
    </row>
    <row r="14" spans="1:5" s="775" customFormat="1" ht="23.25" customHeight="1">
      <c r="A14" s="677" t="s">
        <v>174</v>
      </c>
      <c r="B14" s="941"/>
      <c r="C14" s="943"/>
      <c r="D14" s="944"/>
      <c r="E14" s="774" t="s">
        <v>175</v>
      </c>
    </row>
    <row r="15" spans="1:5" s="775" customFormat="1" ht="23.25" customHeight="1">
      <c r="A15" s="677" t="s">
        <v>51</v>
      </c>
      <c r="B15" s="778">
        <f>'t14'!D12</f>
        <v>0</v>
      </c>
      <c r="C15" s="874"/>
      <c r="D15" s="877"/>
      <c r="E15" s="774" t="s">
        <v>177</v>
      </c>
    </row>
    <row r="16" spans="1:5" s="775" customFormat="1" ht="23.25" customHeight="1">
      <c r="A16" s="677" t="s">
        <v>385</v>
      </c>
      <c r="B16" s="776">
        <f>'t14'!D13</f>
        <v>0</v>
      </c>
      <c r="C16" s="934"/>
      <c r="D16" s="935"/>
      <c r="E16" s="774" t="s">
        <v>188</v>
      </c>
    </row>
    <row r="17" spans="1:5" s="775" customFormat="1" ht="23.25" customHeight="1">
      <c r="A17" s="677" t="s">
        <v>482</v>
      </c>
      <c r="B17" s="941"/>
      <c r="C17" s="939"/>
      <c r="D17" s="940"/>
      <c r="E17" s="774" t="s">
        <v>3</v>
      </c>
    </row>
    <row r="18" spans="1:5" s="779" customFormat="1" ht="23.25" customHeight="1">
      <c r="A18" s="677" t="s">
        <v>108</v>
      </c>
      <c r="B18" s="941"/>
      <c r="C18" s="943"/>
      <c r="D18" s="944"/>
      <c r="E18" s="767" t="s">
        <v>176</v>
      </c>
    </row>
    <row r="19" spans="1:5" s="361" customFormat="1" ht="23.25" customHeight="1">
      <c r="A19" s="677" t="s">
        <v>499</v>
      </c>
      <c r="B19" s="776">
        <f>'t14'!D16</f>
        <v>0</v>
      </c>
      <c r="C19" s="933"/>
      <c r="D19" s="936"/>
      <c r="E19" s="780" t="s">
        <v>158</v>
      </c>
    </row>
    <row r="20" spans="1:5" s="779" customFormat="1" ht="23.25" customHeight="1">
      <c r="A20" s="677" t="s">
        <v>387</v>
      </c>
      <c r="B20" s="941"/>
      <c r="C20" s="939"/>
      <c r="D20" s="940"/>
      <c r="E20" s="774" t="s">
        <v>159</v>
      </c>
    </row>
    <row r="21" spans="1:5" s="779" customFormat="1" ht="23.25" customHeight="1">
      <c r="A21" s="677" t="s">
        <v>148</v>
      </c>
      <c r="B21" s="941"/>
      <c r="C21" s="943"/>
      <c r="D21" s="944"/>
      <c r="E21" s="774" t="s">
        <v>168</v>
      </c>
    </row>
    <row r="22" spans="1:5" s="779" customFormat="1" ht="23.25" customHeight="1">
      <c r="A22" s="677" t="s">
        <v>504</v>
      </c>
      <c r="B22" s="776">
        <f>'t14'!D19</f>
        <v>0</v>
      </c>
      <c r="C22" s="874"/>
      <c r="D22" s="877"/>
      <c r="E22" s="774" t="s">
        <v>505</v>
      </c>
    </row>
    <row r="23" spans="1:5" s="779" customFormat="1" ht="23.25" customHeight="1">
      <c r="A23" s="677" t="s">
        <v>483</v>
      </c>
      <c r="B23" s="776">
        <f>'t14'!D20</f>
        <v>0</v>
      </c>
      <c r="C23" s="874"/>
      <c r="D23" s="877"/>
      <c r="E23" s="774" t="s">
        <v>164</v>
      </c>
    </row>
    <row r="24" spans="1:5" s="779" customFormat="1" ht="23.25" customHeight="1">
      <c r="A24" s="677" t="s">
        <v>500</v>
      </c>
      <c r="B24" s="776">
        <f>'t14'!D21</f>
        <v>0</v>
      </c>
      <c r="C24" s="875"/>
      <c r="D24" s="878"/>
      <c r="E24" s="774" t="s">
        <v>165</v>
      </c>
    </row>
    <row r="25" spans="1:5" s="779" customFormat="1" ht="23.25" customHeight="1">
      <c r="A25" s="677" t="s">
        <v>484</v>
      </c>
      <c r="B25" s="776">
        <f>'t14'!D22</f>
        <v>0</v>
      </c>
      <c r="C25" s="934"/>
      <c r="D25" s="935"/>
      <c r="E25" s="774" t="s">
        <v>166</v>
      </c>
    </row>
    <row r="26" spans="1:5" s="779" customFormat="1" ht="23.25" customHeight="1">
      <c r="A26" s="781" t="s">
        <v>501</v>
      </c>
      <c r="B26" s="941"/>
      <c r="C26" s="945"/>
      <c r="D26" s="946"/>
      <c r="E26" s="774" t="s">
        <v>162</v>
      </c>
    </row>
    <row r="27" spans="1:5" s="779" customFormat="1" ht="23.25" customHeight="1" thickBot="1">
      <c r="A27" s="679" t="s">
        <v>485</v>
      </c>
      <c r="B27" s="782">
        <f>'t14'!D25+'t14'!D26</f>
        <v>0</v>
      </c>
      <c r="C27" s="937"/>
      <c r="D27" s="938"/>
      <c r="E27" s="774" t="s">
        <v>486</v>
      </c>
    </row>
    <row r="28" spans="1:5" ht="15.75" customHeight="1" thickBot="1">
      <c r="A28" s="784" t="s">
        <v>487</v>
      </c>
      <c r="B28" s="785">
        <f>SUM(B4:B27)</f>
        <v>0</v>
      </c>
      <c r="C28" s="785">
        <f>SUM(C4:C27)</f>
        <v>0</v>
      </c>
      <c r="D28" s="786"/>
      <c r="E28" s="774" t="s">
        <v>479</v>
      </c>
    </row>
    <row r="29" spans="1:5" ht="15.75" customHeight="1">
      <c r="A29" s="787"/>
      <c r="B29" s="787"/>
      <c r="C29" s="787"/>
      <c r="D29" s="788"/>
      <c r="E29" s="774" t="s">
        <v>479</v>
      </c>
    </row>
    <row r="30" spans="1:5" s="779" customFormat="1" ht="23.25" customHeight="1" thickBot="1">
      <c r="A30" s="789" t="s">
        <v>488</v>
      </c>
      <c r="B30" s="776">
        <f>'t14'!D27+'t14'!D28+'t14'!D29</f>
        <v>0</v>
      </c>
      <c r="C30" s="876"/>
      <c r="D30" s="783"/>
      <c r="E30" s="774" t="s">
        <v>489</v>
      </c>
    </row>
    <row r="31" spans="1:5" ht="15.75" customHeight="1" thickBot="1">
      <c r="A31" s="784" t="s">
        <v>490</v>
      </c>
      <c r="B31" s="785">
        <f>B28-B30</f>
        <v>0</v>
      </c>
      <c r="C31" s="785">
        <f>C28-C30</f>
        <v>0</v>
      </c>
      <c r="D31" s="790"/>
      <c r="E31" s="791"/>
    </row>
    <row r="32" ht="10.5">
      <c r="F32" s="792">
        <f>IF(AND(C28=0,C30=0,D4="",D7="",D8="",D9="",D10="",D11="",D12="",D13="",D14="",D15="",D16="",D17="",D18="",D19="",D20="",D21="",D23="",D24="",D25="",D26="",D27="",D30=""),0,1)</f>
        <v>0</v>
      </c>
    </row>
    <row r="33" ht="10.5">
      <c r="A33" s="362" t="s">
        <v>185</v>
      </c>
    </row>
    <row r="44" ht="10.5">
      <c r="A44" s="793"/>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codeName="Foglio36">
    <tabColor rgb="FFCC0099"/>
  </sheetPr>
  <dimension ref="A1:X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045" t="str">
        <f>'t1'!A1</f>
        <v>ENTI ART. 60 - anno 2019</v>
      </c>
      <c r="B1" s="1045"/>
      <c r="C1" s="1045"/>
      <c r="D1" s="1045"/>
      <c r="E1" s="1045"/>
      <c r="F1" s="1045"/>
      <c r="G1" s="1045"/>
      <c r="H1" s="1045"/>
      <c r="I1" s="1045"/>
      <c r="J1" s="343"/>
      <c r="K1" s="343"/>
      <c r="L1" s="343"/>
      <c r="M1" s="343"/>
      <c r="N1" s="343"/>
      <c r="O1" s="343"/>
      <c r="P1" s="343"/>
      <c r="Q1" s="343"/>
      <c r="R1" s="343"/>
      <c r="S1" s="343"/>
      <c r="T1" s="343"/>
      <c r="V1" s="3"/>
      <c r="X1"/>
    </row>
    <row r="2" spans="9:24" s="5" customFormat="1" ht="12.75" customHeight="1">
      <c r="I2" s="618"/>
      <c r="J2" s="618"/>
      <c r="K2" s="618"/>
      <c r="L2" s="618"/>
      <c r="M2" s="618"/>
      <c r="N2" s="618"/>
      <c r="O2" s="618"/>
      <c r="P2" s="618"/>
      <c r="Q2" s="618"/>
      <c r="R2" s="618"/>
      <c r="S2" s="618"/>
      <c r="T2" s="618"/>
      <c r="U2" s="312"/>
      <c r="V2" s="3"/>
      <c r="X2"/>
    </row>
    <row r="3" spans="1:4" s="5" customFormat="1" ht="21" customHeight="1">
      <c r="A3" s="198" t="s">
        <v>340</v>
      </c>
      <c r="B3" s="7"/>
      <c r="C3" s="7"/>
      <c r="D3" s="7"/>
    </row>
    <row r="4" spans="1:20" s="5" customFormat="1" ht="21" customHeight="1">
      <c r="A4" s="198"/>
      <c r="B4" s="7"/>
      <c r="C4" s="7"/>
      <c r="D4" s="7"/>
      <c r="F4" s="1114" t="s">
        <v>341</v>
      </c>
      <c r="G4" s="1115"/>
      <c r="H4" s="1116"/>
      <c r="I4" s="1114" t="s">
        <v>431</v>
      </c>
      <c r="J4" s="1115"/>
      <c r="K4" s="1115"/>
      <c r="L4" s="1115"/>
      <c r="M4" s="1115"/>
      <c r="N4" s="1115"/>
      <c r="O4" s="1116"/>
      <c r="P4" s="1114" t="s">
        <v>432</v>
      </c>
      <c r="Q4" s="1115"/>
      <c r="R4" s="1115"/>
      <c r="S4" s="1115"/>
      <c r="T4" s="1116"/>
    </row>
    <row r="5" spans="1:20" ht="63">
      <c r="A5" s="619" t="s">
        <v>236</v>
      </c>
      <c r="B5" s="620" t="s">
        <v>198</v>
      </c>
      <c r="C5" s="621" t="str">
        <f>"presenti al 31/12/"&amp;'t1'!L1&amp;" (tab.1)"</f>
        <v>presenti al 31/12/2019 (tab.1)</v>
      </c>
      <c r="D5" s="621" t="s">
        <v>13</v>
      </c>
      <c r="E5" s="622" t="s">
        <v>342</v>
      </c>
      <c r="F5" s="623" t="str">
        <f>'t11'!C4</f>
        <v>FERIE</v>
      </c>
      <c r="G5" s="623" t="s">
        <v>343</v>
      </c>
      <c r="H5" s="623" t="s">
        <v>344</v>
      </c>
      <c r="I5" s="623" t="s">
        <v>567</v>
      </c>
      <c r="J5" s="623" t="str">
        <f>'t12'!F4</f>
        <v>R.I.A.</v>
      </c>
      <c r="K5" s="623" t="str">
        <f>'t12'!G4</f>
        <v>PROGRESSIONE PER CLASSI E SCATTI/FASCE RETRIBUTIVE</v>
      </c>
      <c r="L5" s="623" t="str">
        <f>'t12'!H4</f>
        <v>TREDICESIMA MENSILTA'</v>
      </c>
      <c r="M5" s="624" t="s">
        <v>345</v>
      </c>
      <c r="N5" s="625" t="str">
        <f>'t12'!I4</f>
        <v>ARRETRATI  ANNI PRECEDENTI</v>
      </c>
      <c r="O5" s="625" t="str">
        <f>'t12'!J4</f>
        <v>RECUPERI DERIVANTI DA ASSENZE, RITARDI, ECC.</v>
      </c>
      <c r="P5" s="623" t="s">
        <v>306</v>
      </c>
      <c r="Q5" s="623" t="s">
        <v>346</v>
      </c>
      <c r="R5" s="623" t="s">
        <v>347</v>
      </c>
      <c r="S5" s="624" t="s">
        <v>348</v>
      </c>
      <c r="T5" s="625" t="str">
        <f>'t13'!H4</f>
        <v>ARRETRATI ANNI PRECEDENTI</v>
      </c>
    </row>
    <row r="6" spans="1:20" ht="11.25">
      <c r="A6" s="139" t="str">
        <f>'t1'!A6</f>
        <v>PERSONALE DIRIGENTE</v>
      </c>
      <c r="B6" s="314" t="str">
        <f>'t1'!B6</f>
        <v>0D00NF</v>
      </c>
      <c r="C6" s="626">
        <f>'t1'!K6+'t1'!L6</f>
        <v>0</v>
      </c>
      <c r="D6" s="626">
        <f>('t1'!K6+'t1'!L6)-SUM('t3'!C6:F6,'t3'!I6:L6)+SUM('t3'!M6:P6)</f>
        <v>0</v>
      </c>
      <c r="E6" s="627">
        <f>'t12'!C6/12</f>
        <v>0</v>
      </c>
      <c r="F6" s="627" t="str">
        <f>IF($D6&gt;0,(('t11'!C8+'t11'!D8)/$D6)," ")</f>
        <v> </v>
      </c>
      <c r="G6" s="627" t="str">
        <f>IF($D6&gt;0,(SUM('t11'!E8:N8)/$D6)," ")</f>
        <v> </v>
      </c>
      <c r="H6" s="627" t="str">
        <f>IF($D6&gt;0,(SUM('t11'!O8:R8)/$D6)," ")</f>
        <v> </v>
      </c>
      <c r="I6" s="628" t="str">
        <f>IF($E6=0," ",('t12'!D6+'t12'!E6)/$E6)</f>
        <v> </v>
      </c>
      <c r="J6" s="628" t="str">
        <f>IF($E6=0," ",'t12'!F6/$E6)</f>
        <v> </v>
      </c>
      <c r="K6" s="628" t="str">
        <f>IF($E6=0," ",'t12'!G6/$E6)</f>
        <v> </v>
      </c>
      <c r="L6" s="628" t="str">
        <f>IF($E6=0," ",'t12'!H6/$E6)</f>
        <v> </v>
      </c>
      <c r="M6" s="629">
        <f>SUM(I6:L6)</f>
        <v>0</v>
      </c>
      <c r="N6" s="630" t="str">
        <f>IF($E6=0," ",'t12'!I6/$E6)</f>
        <v> </v>
      </c>
      <c r="O6" s="630" t="str">
        <f>IF($E6=0," ",'t12'!J6/$E6)</f>
        <v> </v>
      </c>
      <c r="P6" s="628" t="str">
        <f>IF($E6=0," ",'t13'!J6/$E6)</f>
        <v> </v>
      </c>
      <c r="Q6" s="628" t="str">
        <f>IF($E6=0," ",SUM('t13'!C6:E6)/$E6)</f>
        <v> </v>
      </c>
      <c r="R6" s="628" t="str">
        <f>IF($E6=0," ",(SUM('t13'!F6:G6)+'t13'!I6)/$E6)</f>
        <v> </v>
      </c>
      <c r="S6" s="629">
        <f>SUM(P6:R6)</f>
        <v>0</v>
      </c>
      <c r="T6" s="630" t="str">
        <f>IF($E6=0," ",'t13'!H6/$E6)</f>
        <v> </v>
      </c>
    </row>
    <row r="7" spans="1:20" ht="11.25">
      <c r="A7" s="139" t="str">
        <f>'t1'!A7</f>
        <v>PERSONALE NON DIRIGENTE</v>
      </c>
      <c r="B7" s="314" t="str">
        <f>'t1'!B7</f>
        <v>0000ND</v>
      </c>
      <c r="C7" s="626">
        <f>'t1'!K7+'t1'!L7</f>
        <v>0</v>
      </c>
      <c r="D7" s="626">
        <f>('t1'!K7+'t1'!L7)-SUM('t3'!C7:F7,'t3'!I7:L7)+SUM('t3'!M7:P7)</f>
        <v>0</v>
      </c>
      <c r="E7" s="627">
        <f>'t12'!C7/12</f>
        <v>0</v>
      </c>
      <c r="F7" s="627" t="str">
        <f>IF($D7&gt;0,(('t11'!C9+'t11'!D9)/$D7)," ")</f>
        <v> </v>
      </c>
      <c r="G7" s="627" t="str">
        <f>IF($D7&gt;0,(SUM('t11'!E9:N9)/$D7)," ")</f>
        <v> </v>
      </c>
      <c r="H7" s="627" t="str">
        <f>IF($D7&gt;0,(SUM('t11'!O9:R9)/$D7)," ")</f>
        <v> </v>
      </c>
      <c r="I7" s="628" t="str">
        <f>IF($E7=0," ",('t12'!D7+'t12'!E7)/$E7)</f>
        <v> </v>
      </c>
      <c r="J7" s="628" t="str">
        <f>IF($E7=0," ",'t12'!F7/$E7)</f>
        <v> </v>
      </c>
      <c r="K7" s="628" t="str">
        <f>IF($E7=0," ",'t12'!G7/$E7)</f>
        <v> </v>
      </c>
      <c r="L7" s="628" t="str">
        <f>IF($E7=0," ",'t12'!H7/$E7)</f>
        <v> </v>
      </c>
      <c r="M7" s="629">
        <f>SUM(I7:L7)</f>
        <v>0</v>
      </c>
      <c r="N7" s="630" t="str">
        <f>IF($E7=0," ",'t12'!I7/$E7)</f>
        <v> </v>
      </c>
      <c r="O7" s="630" t="str">
        <f>IF($E7=0," ",'t12'!J7/$E7)</f>
        <v> </v>
      </c>
      <c r="P7" s="628" t="str">
        <f>IF($E7=0," ",'t13'!J7/$E7)</f>
        <v> </v>
      </c>
      <c r="Q7" s="628" t="str">
        <f>IF($E7=0," ",SUM('t13'!C7:E7)/$E7)</f>
        <v> </v>
      </c>
      <c r="R7" s="628" t="str">
        <f>IF($E7=0," ",(SUM('t13'!F7:F7)+'t13'!J7)/$E7)</f>
        <v> </v>
      </c>
      <c r="S7" s="629">
        <f>SUM(P7:R7)</f>
        <v>0</v>
      </c>
      <c r="T7" s="630" t="str">
        <f>IF($E7=0," ",'t13'!H7/$E7)</f>
        <v> </v>
      </c>
    </row>
    <row r="8" spans="1:20" ht="11.25">
      <c r="A8" s="139" t="str">
        <f>'t1'!A8</f>
        <v>CONTRATTISTI (a)</v>
      </c>
      <c r="B8" s="314" t="str">
        <f>'t1'!B8</f>
        <v>000061</v>
      </c>
      <c r="C8" s="626">
        <f>'t1'!K8+'t1'!L8</f>
        <v>0</v>
      </c>
      <c r="D8" s="626">
        <f>('t1'!K8+'t1'!L8)-SUM('t3'!C8:F8,'t3'!I8:L8)+SUM('t3'!M8:P8)</f>
        <v>0</v>
      </c>
      <c r="E8" s="627">
        <f>'t12'!C8/12</f>
        <v>0</v>
      </c>
      <c r="F8" s="627" t="str">
        <f>IF($D8&gt;0,(('t11'!C10+'t11'!D10)/$D8)," ")</f>
        <v> </v>
      </c>
      <c r="G8" s="627" t="str">
        <f>IF($D8&gt;0,(SUM('t11'!E10:N10)/$D8)," ")</f>
        <v> </v>
      </c>
      <c r="H8" s="627" t="str">
        <f>IF($D8&gt;0,(SUM('t11'!O10:R10)/$D8)," ")</f>
        <v> </v>
      </c>
      <c r="I8" s="628" t="str">
        <f>IF($E8=0," ",('t12'!D8+'t12'!E8)/$E8)</f>
        <v> </v>
      </c>
      <c r="J8" s="628" t="str">
        <f>IF($E8=0," ",'t12'!F8/$E8)</f>
        <v> </v>
      </c>
      <c r="K8" s="628" t="str">
        <f>IF($E8=0," ",'t12'!G8/$E8)</f>
        <v> </v>
      </c>
      <c r="L8" s="628" t="str">
        <f>IF($E8=0," ",'t12'!H8/$E8)</f>
        <v> </v>
      </c>
      <c r="M8" s="629">
        <f>SUM(I8:L8)</f>
        <v>0</v>
      </c>
      <c r="N8" s="630" t="str">
        <f>IF($E8=0," ",'t12'!I8/$E8)</f>
        <v> </v>
      </c>
      <c r="O8" s="630" t="str">
        <f>IF($E8=0," ",'t12'!J8/$E8)</f>
        <v> </v>
      </c>
      <c r="P8" s="628" t="str">
        <f>IF($E8=0," ",'t13'!J8/$E8)</f>
        <v> </v>
      </c>
      <c r="Q8" s="628" t="str">
        <f>IF($E8=0," ",SUM('t13'!C8:E8)/$E8)</f>
        <v> </v>
      </c>
      <c r="R8" s="628" t="str">
        <f>IF($E8=0," ",(SUM('t13'!F8:F8)+'t13'!J8)/$E8)</f>
        <v> </v>
      </c>
      <c r="S8" s="629">
        <f>SUM(P8:R8)</f>
        <v>0</v>
      </c>
      <c r="T8" s="630" t="str">
        <f>IF($E8=0," ",'t13'!H8/$E8)</f>
        <v> </v>
      </c>
    </row>
    <row r="10" ht="11.25">
      <c r="A10"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11" ht="11.25">
      <c r="A11" s="5" t="s">
        <v>433</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42" customWidth="1"/>
    <col min="2" max="2" width="25.83203125" style="543" customWidth="1"/>
    <col min="3" max="3" width="5.5" style="543" customWidth="1"/>
    <col min="4" max="4" width="56.16015625" style="543" customWidth="1"/>
    <col min="5" max="5" width="22.5" style="543" customWidth="1"/>
    <col min="6" max="6" width="23.16015625" style="543" customWidth="1"/>
    <col min="7" max="7" width="21.5" style="543" customWidth="1"/>
    <col min="8" max="8" width="25.5" style="601" customWidth="1"/>
    <col min="9" max="9" width="0" style="601" hidden="1" customWidth="1"/>
    <col min="10" max="16384" width="12.83203125" style="601" customWidth="1"/>
  </cols>
  <sheetData>
    <row r="1" spans="8:9" ht="54.75" customHeight="1">
      <c r="H1" s="565" t="s">
        <v>307</v>
      </c>
      <c r="I1" s="367"/>
    </row>
    <row r="2" spans="2:9" ht="54.75" customHeight="1">
      <c r="B2" s="1006">
        <f>IF(SI_1!G56&gt;0,"LA COMPILAZIONE DI QUESTA APPENDICE E' OBBLIGATORIA","")</f>
      </c>
      <c r="C2" s="1006"/>
      <c r="D2" s="1006"/>
      <c r="E2" s="1006"/>
      <c r="F2" s="1006"/>
      <c r="G2" s="1006"/>
      <c r="H2" s="565"/>
      <c r="I2" s="367"/>
    </row>
    <row r="3" spans="1:9" ht="26.25" customHeight="1" thickBot="1">
      <c r="A3" s="561"/>
      <c r="B3" s="557"/>
      <c r="C3" s="557"/>
      <c r="D3" s="558" t="str">
        <f>'t1'!A1</f>
        <v>ENTI ART. 60 - anno 2019</v>
      </c>
      <c r="E3" s="557"/>
      <c r="F3" s="557"/>
      <c r="G3" s="557"/>
      <c r="H3" s="566"/>
      <c r="I3" s="367"/>
    </row>
    <row r="4" spans="2:9" ht="12">
      <c r="B4" s="544"/>
      <c r="C4" s="544"/>
      <c r="D4" s="544"/>
      <c r="E4" s="544"/>
      <c r="F4" s="544"/>
      <c r="G4" s="544"/>
      <c r="H4" s="567"/>
      <c r="I4" s="367"/>
    </row>
    <row r="5" spans="1:9" ht="15">
      <c r="A5" s="545"/>
      <c r="B5" s="546"/>
      <c r="C5" s="547"/>
      <c r="D5" s="546"/>
      <c r="E5" s="546"/>
      <c r="G5" s="568" t="s">
        <v>71</v>
      </c>
      <c r="H5" s="567"/>
      <c r="I5" s="367"/>
    </row>
    <row r="6" spans="1:9" ht="17.25" customHeight="1">
      <c r="A6" s="545" t="s">
        <v>284</v>
      </c>
      <c r="B6" s="548" t="s">
        <v>324</v>
      </c>
      <c r="C6" s="549"/>
      <c r="G6" s="556"/>
      <c r="H6" s="567"/>
      <c r="I6" s="367"/>
    </row>
    <row r="7" spans="1:9" ht="20.25" customHeight="1">
      <c r="A7" s="545"/>
      <c r="C7" s="549"/>
      <c r="D7" s="546" t="s">
        <v>62</v>
      </c>
      <c r="G7" s="573"/>
      <c r="H7" s="1007">
        <f>IF(SUM(G7:G9)&lt;&gt;SI_1!G56,"LA SOMMA DEI VALORI DEVE ESSERE UGUALE A "&amp;SI_1!G56,"")</f>
      </c>
      <c r="I7" s="367"/>
    </row>
    <row r="8" spans="1:9" ht="20.25" customHeight="1">
      <c r="A8" s="545"/>
      <c r="C8" s="549"/>
      <c r="D8" s="546" t="s">
        <v>5</v>
      </c>
      <c r="G8" s="573"/>
      <c r="H8" s="1007"/>
      <c r="I8" s="367"/>
    </row>
    <row r="9" spans="1:9" ht="20.25" customHeight="1">
      <c r="A9" s="545"/>
      <c r="C9" s="549"/>
      <c r="D9" s="546" t="s">
        <v>4</v>
      </c>
      <c r="G9" s="573"/>
      <c r="H9" s="1007"/>
      <c r="I9" s="578"/>
    </row>
    <row r="10" spans="1:9" ht="17.25" customHeight="1">
      <c r="A10" s="545"/>
      <c r="B10" s="546"/>
      <c r="C10" s="547"/>
      <c r="D10" s="546"/>
      <c r="E10" s="546"/>
      <c r="G10" s="553"/>
      <c r="H10" s="567"/>
      <c r="I10" s="367"/>
    </row>
    <row r="11" spans="1:9" ht="20.25" customHeight="1">
      <c r="A11" s="545" t="s">
        <v>285</v>
      </c>
      <c r="B11" s="569" t="s">
        <v>332</v>
      </c>
      <c r="C11" s="547"/>
      <c r="D11" s="546"/>
      <c r="E11" s="546"/>
      <c r="G11" s="573"/>
      <c r="H11" s="1009">
        <f>IF(SI_1!G56=0,"",IF(AND(G11&lt;=SI_1!G56,G11&gt;=0),"","IL VALORE INSERITO DEVE ESSERE &lt;= "&amp;SI_1!G56))</f>
      </c>
      <c r="I11" s="367"/>
    </row>
    <row r="12" spans="1:9" ht="17.25" customHeight="1">
      <c r="A12" s="545"/>
      <c r="B12" s="546"/>
      <c r="C12" s="547"/>
      <c r="D12" s="546"/>
      <c r="E12" s="546"/>
      <c r="G12" s="553"/>
      <c r="H12" s="1010"/>
      <c r="I12" s="367"/>
    </row>
    <row r="13" spans="1:9" ht="15" customHeight="1">
      <c r="A13" s="545" t="s">
        <v>287</v>
      </c>
      <c r="B13" s="550" t="s">
        <v>63</v>
      </c>
      <c r="C13" s="547"/>
      <c r="D13" s="546"/>
      <c r="E13" s="546"/>
      <c r="G13" s="553"/>
      <c r="H13" s="567"/>
      <c r="I13" s="367"/>
    </row>
    <row r="14" spans="1:9" ht="20.25" customHeight="1">
      <c r="A14" s="551"/>
      <c r="C14" s="547"/>
      <c r="D14" s="546" t="s">
        <v>64</v>
      </c>
      <c r="E14" s="546"/>
      <c r="G14" s="573"/>
      <c r="H14" s="1008">
        <f>IF(SUM(G14:G17)&lt;&gt;SI_1!G56,"LA SOMMA DEI VALORI DEVE ESSERE UGUALE A "&amp;SI_1!G56,"")</f>
      </c>
      <c r="I14" s="367"/>
    </row>
    <row r="15" spans="1:9" ht="20.25" customHeight="1">
      <c r="A15" s="551"/>
      <c r="C15" s="552"/>
      <c r="D15" s="553" t="s">
        <v>65</v>
      </c>
      <c r="E15" s="553"/>
      <c r="G15" s="573"/>
      <c r="H15" s="1008"/>
      <c r="I15" s="367"/>
    </row>
    <row r="16" spans="1:9" ht="20.25" customHeight="1">
      <c r="A16" s="554"/>
      <c r="C16" s="555"/>
      <c r="D16" s="555" t="s">
        <v>66</v>
      </c>
      <c r="E16" s="555"/>
      <c r="G16" s="574"/>
      <c r="H16" s="1008"/>
      <c r="I16" s="367"/>
    </row>
    <row r="17" spans="1:9" ht="20.25" customHeight="1">
      <c r="A17" s="554"/>
      <c r="C17" s="555"/>
      <c r="D17" s="555" t="s">
        <v>67</v>
      </c>
      <c r="E17" s="555"/>
      <c r="G17" s="574"/>
      <c r="H17" s="1008"/>
      <c r="I17" s="367"/>
    </row>
    <row r="18" spans="1:9" ht="15" customHeight="1">
      <c r="A18" s="551"/>
      <c r="B18" s="546"/>
      <c r="C18" s="546"/>
      <c r="D18" s="546"/>
      <c r="E18" s="546"/>
      <c r="G18" s="546"/>
      <c r="H18" s="570"/>
      <c r="I18" s="367"/>
    </row>
    <row r="19" spans="1:9" ht="20.25" customHeight="1">
      <c r="A19" s="722" t="s">
        <v>288</v>
      </c>
      <c r="B19" s="1011" t="s">
        <v>333</v>
      </c>
      <c r="C19" s="1012"/>
      <c r="D19" s="1012"/>
      <c r="E19" s="1012"/>
      <c r="F19" s="1012"/>
      <c r="G19" s="573"/>
      <c r="H19" s="1009">
        <f>IF(SI_1!G56=0,"",IF(AND(G19&lt;=SI_1!G56,G19&gt;0),"","IL VALORE INSERITO DEVE ESSERE &lt;= "&amp;SI_1!G56&amp;" E MAGGIORE DI 0"))</f>
      </c>
      <c r="I19" s="367"/>
    </row>
    <row r="20" spans="1:9" ht="33.75" customHeight="1">
      <c r="A20" s="551"/>
      <c r="B20" s="1012"/>
      <c r="C20" s="1012"/>
      <c r="D20" s="1012"/>
      <c r="E20" s="1012"/>
      <c r="F20" s="1012"/>
      <c r="G20" s="546"/>
      <c r="H20" s="1010"/>
      <c r="I20" s="367"/>
    </row>
    <row r="21" spans="1:9" ht="15" customHeight="1">
      <c r="A21" s="551"/>
      <c r="B21" s="550" t="s">
        <v>334</v>
      </c>
      <c r="C21" s="546"/>
      <c r="D21" s="546"/>
      <c r="E21" s="546"/>
      <c r="G21" s="546"/>
      <c r="H21" s="570"/>
      <c r="I21" s="367"/>
    </row>
    <row r="22" spans="1:9" ht="20.25" customHeight="1">
      <c r="A22" s="551"/>
      <c r="B22" s="546"/>
      <c r="C22" s="546"/>
      <c r="D22" s="546" t="s">
        <v>68</v>
      </c>
      <c r="E22" s="546"/>
      <c r="G22" s="573"/>
      <c r="H22" s="1008">
        <f>IF(SUM(G22:G24)&lt;&gt;G19,"LA SOMMA DEI VALORI DEVE ESSERE UGUALE A "&amp;IF(G19&lt;&gt;0,G19,0),"")</f>
      </c>
      <c r="I22" s="367"/>
    </row>
    <row r="23" spans="1:9" ht="20.25" customHeight="1">
      <c r="A23" s="551"/>
      <c r="B23" s="546"/>
      <c r="C23" s="546"/>
      <c r="D23" s="546" t="s">
        <v>69</v>
      </c>
      <c r="E23" s="546"/>
      <c r="G23" s="573"/>
      <c r="H23" s="1008"/>
      <c r="I23" s="367"/>
    </row>
    <row r="24" spans="1:9" ht="20.25" customHeight="1">
      <c r="A24" s="551"/>
      <c r="B24" s="546"/>
      <c r="C24" s="546"/>
      <c r="D24" s="546" t="s">
        <v>70</v>
      </c>
      <c r="E24" s="546"/>
      <c r="G24" s="573"/>
      <c r="H24" s="1008"/>
      <c r="I24" s="367">
        <f>SUM(G22:G24,G19,G14:G17,G11,G7:G9)</f>
        <v>0</v>
      </c>
    </row>
    <row r="25" spans="1:9" ht="15" customHeight="1">
      <c r="A25" s="551"/>
      <c r="B25" s="546"/>
      <c r="C25" s="546"/>
      <c r="D25" s="546"/>
      <c r="E25" s="546"/>
      <c r="F25" s="546"/>
      <c r="G25" s="546"/>
      <c r="H25" s="570"/>
      <c r="I25" s="367"/>
    </row>
    <row r="26" spans="1:9" s="602" customFormat="1" ht="15" customHeight="1">
      <c r="A26" s="551"/>
      <c r="B26" s="546"/>
      <c r="C26" s="546"/>
      <c r="D26" s="546"/>
      <c r="E26" s="546"/>
      <c r="F26" s="546"/>
      <c r="G26" s="546"/>
      <c r="H26" s="571"/>
      <c r="I26" s="392"/>
    </row>
    <row r="27" spans="1:9" ht="14.25">
      <c r="A27" s="559"/>
      <c r="B27" s="560"/>
      <c r="C27" s="560"/>
      <c r="D27" s="560"/>
      <c r="E27" s="560"/>
      <c r="F27" s="560"/>
      <c r="G27" s="560"/>
      <c r="H27" s="572"/>
      <c r="I27" s="367"/>
    </row>
    <row r="28" spans="1:8" ht="14.25">
      <c r="A28" s="551"/>
      <c r="B28" s="546"/>
      <c r="C28" s="546"/>
      <c r="D28" s="546"/>
      <c r="E28" s="546"/>
      <c r="F28" s="546"/>
      <c r="G28" s="546"/>
      <c r="H28" s="546"/>
    </row>
    <row r="29" spans="1:8" ht="14.25">
      <c r="A29" s="551"/>
      <c r="B29" s="546"/>
      <c r="C29" s="546"/>
      <c r="D29" s="546"/>
      <c r="E29" s="546"/>
      <c r="F29" s="546"/>
      <c r="G29" s="546"/>
      <c r="H29" s="546"/>
    </row>
    <row r="30" spans="1:8" ht="14.25">
      <c r="A30" s="551"/>
      <c r="B30" s="546"/>
      <c r="C30" s="546"/>
      <c r="D30" s="546"/>
      <c r="E30" s="546"/>
      <c r="F30" s="546"/>
      <c r="G30" s="546"/>
      <c r="H30" s="546"/>
    </row>
    <row r="31" spans="1:8" ht="14.25">
      <c r="A31" s="551"/>
      <c r="B31" s="546"/>
      <c r="C31" s="546"/>
      <c r="D31" s="546"/>
      <c r="E31" s="546"/>
      <c r="F31" s="546"/>
      <c r="G31" s="546"/>
      <c r="H31" s="546"/>
    </row>
    <row r="32" spans="1:8" ht="14.25">
      <c r="A32" s="551"/>
      <c r="B32" s="546"/>
      <c r="C32" s="546"/>
      <c r="D32" s="546"/>
      <c r="E32" s="546"/>
      <c r="F32" s="546"/>
      <c r="G32" s="546"/>
      <c r="H32" s="546"/>
    </row>
    <row r="33" spans="1:8" ht="14.25">
      <c r="A33" s="551"/>
      <c r="B33" s="546"/>
      <c r="C33" s="546"/>
      <c r="D33" s="546"/>
      <c r="E33" s="546"/>
      <c r="F33" s="546"/>
      <c r="G33" s="546"/>
      <c r="H33" s="546"/>
    </row>
    <row r="34" spans="1:8" ht="23.25" customHeight="1">
      <c r="A34" s="551"/>
      <c r="B34" s="546"/>
      <c r="C34" s="546"/>
      <c r="D34" s="546"/>
      <c r="E34" s="546"/>
      <c r="F34" s="546"/>
      <c r="G34" s="546"/>
      <c r="H34" s="546"/>
    </row>
    <row r="35" spans="1:8" ht="23.25" customHeight="1">
      <c r="A35" s="551"/>
      <c r="B35" s="546"/>
      <c r="C35" s="546"/>
      <c r="D35" s="546"/>
      <c r="E35" s="546"/>
      <c r="F35" s="546"/>
      <c r="G35" s="546"/>
      <c r="H35" s="546"/>
    </row>
    <row r="36" spans="1:8" ht="23.25" customHeight="1">
      <c r="A36" s="551"/>
      <c r="B36" s="546"/>
      <c r="C36" s="546"/>
      <c r="D36" s="546"/>
      <c r="E36" s="546"/>
      <c r="F36" s="546"/>
      <c r="G36" s="546"/>
      <c r="H36" s="546"/>
    </row>
    <row r="37" spans="1:8" ht="23.25" customHeight="1">
      <c r="A37" s="551"/>
      <c r="B37" s="546"/>
      <c r="C37" s="546"/>
      <c r="D37" s="546"/>
      <c r="E37" s="546"/>
      <c r="F37" s="546"/>
      <c r="G37" s="546"/>
      <c r="H37" s="546"/>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22"/>
  <dimension ref="A1:T3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045" t="str">
        <f>'t1'!A1</f>
        <v>ENTI ART. 60 - anno 2019</v>
      </c>
      <c r="B1" s="1045"/>
      <c r="C1" s="1045"/>
      <c r="D1" s="1045"/>
      <c r="E1" s="1045"/>
      <c r="F1" s="1045"/>
      <c r="G1" s="1045"/>
      <c r="H1" s="1045"/>
      <c r="I1" s="311"/>
      <c r="J1" s="308"/>
      <c r="K1" s="3"/>
      <c r="M1"/>
    </row>
    <row r="2" spans="2:13" ht="12.75" customHeight="1">
      <c r="B2" s="5"/>
      <c r="C2" s="5"/>
      <c r="D2" s="1117"/>
      <c r="E2" s="1117"/>
      <c r="F2" s="1117"/>
      <c r="G2" s="1117"/>
      <c r="H2" s="1117"/>
      <c r="I2" s="1117"/>
      <c r="J2" s="1117"/>
      <c r="K2" s="3"/>
      <c r="M2"/>
    </row>
    <row r="3" spans="1:2" s="198" customFormat="1" ht="21" customHeight="1">
      <c r="A3" s="198" t="str">
        <f>"Tavola di coerenza tra presenti al 31.12."&amp;'t1'!L1&amp;" e presenti al 31.12."&amp;'t1'!L1-1&amp;" (Squadratura 1)"</f>
        <v>Tavola di coerenza tra presenti al 31.12.2019 e presenti al 31.12.2018 (Squadratura 1)</v>
      </c>
      <c r="B3" s="310"/>
    </row>
    <row r="4" spans="1:10" ht="36.75" customHeight="1">
      <c r="A4" s="180" t="s">
        <v>199</v>
      </c>
      <c r="B4" s="181" t="s">
        <v>198</v>
      </c>
      <c r="C4" s="181" t="str">
        <f>"Presenti 31.12."&amp;'t1'!L1-1&amp;" (Tab 1)"</f>
        <v>Presenti 31.12.2018 (Tab 1)</v>
      </c>
      <c r="D4" s="181" t="s">
        <v>191</v>
      </c>
      <c r="E4" s="181" t="s">
        <v>246</v>
      </c>
      <c r="F4" s="181" t="s">
        <v>193</v>
      </c>
      <c r="G4" s="181" t="s">
        <v>192</v>
      </c>
      <c r="H4" s="181" t="str">
        <f>"Presenti 31.12."&amp;'t1'!L1&amp;" (Calcolati)"</f>
        <v>Presenti 31.12.2019 (Calcolati)</v>
      </c>
      <c r="I4" s="181" t="str">
        <f>"Presenti 31.12."&amp;'t1'!L1&amp;" (Tab 1)"</f>
        <v>Presenti 31.12.2019 (Tab 1)</v>
      </c>
      <c r="J4" s="181" t="s">
        <v>208</v>
      </c>
    </row>
    <row r="5" spans="1:10" ht="11.25">
      <c r="A5" s="718"/>
      <c r="B5" s="181"/>
      <c r="C5" s="187" t="s">
        <v>200</v>
      </c>
      <c r="D5" s="187" t="s">
        <v>201</v>
      </c>
      <c r="E5" s="187" t="s">
        <v>202</v>
      </c>
      <c r="F5" s="187" t="s">
        <v>203</v>
      </c>
      <c r="G5" s="187" t="s">
        <v>204</v>
      </c>
      <c r="H5" s="187" t="s">
        <v>205</v>
      </c>
      <c r="I5" s="187" t="s">
        <v>206</v>
      </c>
      <c r="J5" s="187" t="s">
        <v>207</v>
      </c>
    </row>
    <row r="6" spans="1:10" ht="12.75" customHeight="1">
      <c r="A6" s="719" t="str">
        <f>'t1'!A6</f>
        <v>PERSONALE DIRIGENTE</v>
      </c>
      <c r="B6" s="188" t="str">
        <f>'t1'!B6</f>
        <v>0D00NF</v>
      </c>
      <c r="C6" s="335">
        <f>'t1'!C6+'t1'!D6</f>
        <v>0</v>
      </c>
      <c r="D6" s="335">
        <f>'t5'!S7+'t5'!T7</f>
        <v>0</v>
      </c>
      <c r="E6" s="336">
        <f>'t6'!U7+'t6'!V7</f>
        <v>0</v>
      </c>
      <c r="F6" s="336">
        <f>'t4'!F6</f>
        <v>0</v>
      </c>
      <c r="G6" s="336">
        <f>'t4'!C9</f>
        <v>0</v>
      </c>
      <c r="H6" s="336">
        <f>C6-D6+E6-F6+G6</f>
        <v>0</v>
      </c>
      <c r="I6" s="336">
        <f>'t1'!K6+'t1'!L6</f>
        <v>0</v>
      </c>
      <c r="J6" s="103" t="str">
        <f>IF(H6=I6,"OK","ERRORE")</f>
        <v>OK</v>
      </c>
    </row>
    <row r="7" spans="1:10" ht="12.75" customHeight="1">
      <c r="A7" s="719" t="str">
        <f>'t1'!A7</f>
        <v>PERSONALE NON DIRIGENTE</v>
      </c>
      <c r="B7" s="188" t="str">
        <f>'t1'!B7</f>
        <v>0000ND</v>
      </c>
      <c r="C7" s="335">
        <f>'t1'!C7+'t1'!D7</f>
        <v>0</v>
      </c>
      <c r="D7" s="335">
        <f>'t5'!S8+'t5'!T8</f>
        <v>0</v>
      </c>
      <c r="E7" s="336">
        <f>'t6'!U8+'t6'!V8</f>
        <v>0</v>
      </c>
      <c r="F7" s="336">
        <f>'t4'!F7</f>
        <v>0</v>
      </c>
      <c r="G7" s="336">
        <f>'t4'!D9</f>
        <v>0</v>
      </c>
      <c r="H7" s="336">
        <f>C7-D7+E7-F7+G7</f>
        <v>0</v>
      </c>
      <c r="I7" s="336">
        <f>'t1'!K7+'t1'!L7</f>
        <v>0</v>
      </c>
      <c r="J7" s="103" t="str">
        <f>IF(H7=I7,"OK","ERRORE")</f>
        <v>OK</v>
      </c>
    </row>
    <row r="8" spans="1:10" ht="12.75" customHeight="1">
      <c r="A8" s="719" t="str">
        <f>'t1'!A8</f>
        <v>CONTRATTISTI (a)</v>
      </c>
      <c r="B8" s="188" t="str">
        <f>'t1'!B8</f>
        <v>000061</v>
      </c>
      <c r="C8" s="335">
        <f>'t1'!C8+'t1'!D8</f>
        <v>0</v>
      </c>
      <c r="D8" s="335">
        <f>'t5'!S9+'t5'!T9</f>
        <v>0</v>
      </c>
      <c r="E8" s="336">
        <f>'t6'!U9+'t6'!V9</f>
        <v>0</v>
      </c>
      <c r="F8" s="336">
        <f>'t4'!F8</f>
        <v>0</v>
      </c>
      <c r="G8" s="336">
        <f>'t4'!E9</f>
        <v>0</v>
      </c>
      <c r="H8" s="336">
        <f>C8-D8+E8-F8+G8</f>
        <v>0</v>
      </c>
      <c r="I8" s="336">
        <f>'t1'!K8+'t1'!L8</f>
        <v>0</v>
      </c>
      <c r="J8" s="103" t="str">
        <f>IF(H8=I8,"OK","ERRORE")</f>
        <v>OK</v>
      </c>
    </row>
    <row r="9" spans="1:10" s="342" customFormat="1" ht="15.75" customHeight="1">
      <c r="A9" s="720" t="str">
        <f>'t1'!A9</f>
        <v>TOTALE</v>
      </c>
      <c r="B9" s="209"/>
      <c r="C9" s="359">
        <f aca="true" t="shared" si="0" ref="C9:I9">SUM(C6:C8)</f>
        <v>0</v>
      </c>
      <c r="D9" s="359">
        <f t="shared" si="0"/>
        <v>0</v>
      </c>
      <c r="E9" s="359">
        <f t="shared" si="0"/>
        <v>0</v>
      </c>
      <c r="F9" s="359">
        <f t="shared" si="0"/>
        <v>0</v>
      </c>
      <c r="G9" s="359">
        <f t="shared" si="0"/>
        <v>0</v>
      </c>
      <c r="H9" s="359">
        <f t="shared" si="0"/>
        <v>0</v>
      </c>
      <c r="I9" s="359">
        <f t="shared" si="0"/>
        <v>0</v>
      </c>
      <c r="J9" s="360" t="str">
        <f>IF(H9=I9,"OK","ERRORE")</f>
        <v>OK</v>
      </c>
    </row>
    <row r="14" spans="6:20" ht="11.25">
      <c r="F14" s="356"/>
      <c r="G14" s="356"/>
      <c r="H14" s="356"/>
      <c r="I14" s="356"/>
      <c r="J14" s="356"/>
      <c r="K14" s="357"/>
      <c r="L14" s="357"/>
      <c r="M14" s="357"/>
      <c r="N14" s="357"/>
      <c r="O14" s="357"/>
      <c r="P14" s="357"/>
      <c r="Q14" s="357"/>
      <c r="R14" s="357"/>
      <c r="S14" s="357"/>
      <c r="T14" s="357"/>
    </row>
    <row r="18" ht="11.25">
      <c r="G18" s="356"/>
    </row>
    <row r="19" ht="11.25">
      <c r="G19" s="356"/>
    </row>
    <row r="20" ht="11.25">
      <c r="G20" s="356"/>
    </row>
    <row r="21" ht="11.25">
      <c r="G21" s="356"/>
    </row>
    <row r="22" ht="11.25">
      <c r="G22" s="356"/>
    </row>
    <row r="23" ht="11.25">
      <c r="G23" s="357"/>
    </row>
    <row r="24" ht="11.25">
      <c r="G24" s="357"/>
    </row>
    <row r="25" ht="11.25">
      <c r="G25" s="357"/>
    </row>
    <row r="26" ht="11.25">
      <c r="G26" s="357"/>
    </row>
    <row r="27" ht="11.25">
      <c r="G27" s="357"/>
    </row>
    <row r="28" ht="11.25">
      <c r="G28" s="357"/>
    </row>
    <row r="29" ht="11.25">
      <c r="G29" s="357"/>
    </row>
    <row r="30" ht="11.25">
      <c r="G30" s="357"/>
    </row>
    <row r="31" ht="11.25">
      <c r="G31" s="357"/>
    </row>
    <row r="32" ht="11.25">
      <c r="G32" s="357"/>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1.xml><?xml version="1.0" encoding="utf-8"?>
<worksheet xmlns="http://schemas.openxmlformats.org/spreadsheetml/2006/main" xmlns:r="http://schemas.openxmlformats.org/officeDocument/2006/relationships">
  <sheetPr codeName="Foglio23"/>
  <dimension ref="A1:M1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045" t="str">
        <f>'t1'!A1</f>
        <v>ENTI ART. 60 - anno 2019</v>
      </c>
      <c r="B1" s="1045"/>
      <c r="C1" s="1045"/>
      <c r="D1" s="1045"/>
      <c r="E1" s="1045"/>
      <c r="F1" s="1045"/>
      <c r="G1" s="1045"/>
      <c r="H1" s="1045"/>
      <c r="I1" s="1045"/>
      <c r="J1" s="1045"/>
      <c r="K1" s="3"/>
      <c r="L1" s="308"/>
      <c r="M1"/>
    </row>
    <row r="2" spans="2:13" ht="12.75" customHeight="1">
      <c r="B2" s="5"/>
      <c r="C2" s="5"/>
      <c r="D2" s="5"/>
      <c r="E2" s="1117"/>
      <c r="F2" s="1117"/>
      <c r="G2" s="1117"/>
      <c r="H2" s="1117"/>
      <c r="I2" s="1117"/>
      <c r="J2" s="1117"/>
      <c r="K2" s="1117"/>
      <c r="L2" s="1117"/>
      <c r="M2"/>
    </row>
    <row r="3" spans="1:11" ht="21" customHeight="1">
      <c r="A3" s="198"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102" customFormat="1" ht="11.25" customHeight="1">
      <c r="A4" s="190"/>
      <c r="B4" s="190"/>
      <c r="C4" s="1118" t="s">
        <v>258</v>
      </c>
      <c r="D4" s="1119"/>
      <c r="E4" s="1119"/>
      <c r="F4" s="1119"/>
      <c r="G4" s="1120"/>
      <c r="H4" s="1118" t="s">
        <v>259</v>
      </c>
      <c r="I4" s="1119"/>
      <c r="J4" s="1119"/>
      <c r="K4" s="1119"/>
      <c r="L4" s="1120"/>
    </row>
    <row r="5" spans="1:12" ht="70.5" customHeight="1">
      <c r="A5" s="181" t="s">
        <v>199</v>
      </c>
      <c r="B5" s="181" t="s">
        <v>198</v>
      </c>
      <c r="C5" s="189" t="str">
        <f>"Presenti 31.12."&amp;'t1'!L1&amp;" (Tab 1)"</f>
        <v>Presenti 31.12.2019 (Tab 1)</v>
      </c>
      <c r="D5" s="186" t="s">
        <v>209</v>
      </c>
      <c r="E5" s="186" t="s">
        <v>210</v>
      </c>
      <c r="F5" s="186" t="s">
        <v>14</v>
      </c>
      <c r="G5" s="186" t="s">
        <v>208</v>
      </c>
      <c r="H5" s="189" t="str">
        <f>"Presenti 31.12."&amp;'t1'!L1&amp;" (Tab 1)"</f>
        <v>Presenti 31.12.2019 (Tab 1)</v>
      </c>
      <c r="I5" s="186" t="s">
        <v>209</v>
      </c>
      <c r="J5" s="186" t="s">
        <v>210</v>
      </c>
      <c r="K5" s="186" t="s">
        <v>14</v>
      </c>
      <c r="L5" s="186" t="s">
        <v>208</v>
      </c>
    </row>
    <row r="6" spans="1:12" ht="11.25">
      <c r="A6" s="182"/>
      <c r="B6" s="182"/>
      <c r="C6" s="191" t="s">
        <v>200</v>
      </c>
      <c r="D6" s="191" t="s">
        <v>201</v>
      </c>
      <c r="E6" s="191" t="s">
        <v>202</v>
      </c>
      <c r="F6" s="191" t="s">
        <v>203</v>
      </c>
      <c r="G6" s="192" t="s">
        <v>226</v>
      </c>
      <c r="H6" s="191" t="s">
        <v>204</v>
      </c>
      <c r="I6" s="191" t="s">
        <v>224</v>
      </c>
      <c r="J6" s="191" t="s">
        <v>206</v>
      </c>
      <c r="K6" s="191" t="s">
        <v>214</v>
      </c>
      <c r="L6" s="192" t="s">
        <v>227</v>
      </c>
    </row>
    <row r="7" spans="1:12" ht="12.75" customHeight="1">
      <c r="A7" s="139" t="str">
        <f>'t1'!A6</f>
        <v>PERSONALE DIRIGENTE</v>
      </c>
      <c r="B7" s="188" t="str">
        <f>'t1'!B6</f>
        <v>0D00NF</v>
      </c>
      <c r="C7" s="335">
        <f>'t1'!K6</f>
        <v>0</v>
      </c>
      <c r="D7" s="335">
        <f>'t7'!W6</f>
        <v>0</v>
      </c>
      <c r="E7" s="336">
        <f>'t8'!AA6</f>
        <v>0</v>
      </c>
      <c r="F7" s="336">
        <f>'t9'!O6</f>
        <v>0</v>
      </c>
      <c r="G7" s="103" t="str">
        <f>IF(COUNTIF(C7:F7,C7)=4,"OK","ERRORE")</f>
        <v>OK</v>
      </c>
      <c r="H7" s="336">
        <f>'t1'!L6</f>
        <v>0</v>
      </c>
      <c r="I7" s="336">
        <f>'t7'!X6</f>
        <v>0</v>
      </c>
      <c r="J7" s="336">
        <f>'t8'!AB6</f>
        <v>0</v>
      </c>
      <c r="K7" s="335">
        <f>'t9'!P6</f>
        <v>0</v>
      </c>
      <c r="L7" s="103" t="str">
        <f>IF(COUNTIF(H7:K7,H7)=4,"OK","ERRORE")</f>
        <v>OK</v>
      </c>
    </row>
    <row r="8" spans="1:12" ht="12.75" customHeight="1">
      <c r="A8" s="139" t="str">
        <f>'t1'!A7</f>
        <v>PERSONALE NON DIRIGENTE</v>
      </c>
      <c r="B8" s="188" t="str">
        <f>'t1'!B7</f>
        <v>0000ND</v>
      </c>
      <c r="C8" s="335">
        <f>'t1'!K7</f>
        <v>0</v>
      </c>
      <c r="D8" s="335">
        <f>'t7'!W7</f>
        <v>0</v>
      </c>
      <c r="E8" s="336">
        <f>'t8'!AA7</f>
        <v>0</v>
      </c>
      <c r="F8" s="336">
        <f>'t9'!O7</f>
        <v>0</v>
      </c>
      <c r="G8" s="103" t="str">
        <f>IF(COUNTIF(C8:F8,C8)=4,"OK","ERRORE")</f>
        <v>OK</v>
      </c>
      <c r="H8" s="336">
        <f>'t1'!L7</f>
        <v>0</v>
      </c>
      <c r="I8" s="336">
        <f>'t7'!X7</f>
        <v>0</v>
      </c>
      <c r="J8" s="336">
        <f>'t8'!AB7</f>
        <v>0</v>
      </c>
      <c r="K8" s="335">
        <f>'t9'!P7</f>
        <v>0</v>
      </c>
      <c r="L8" s="103" t="str">
        <f>IF(COUNTIF(H8:K8,H8)=4,"OK","ERRORE")</f>
        <v>OK</v>
      </c>
    </row>
    <row r="9" spans="1:12" ht="12.75" customHeight="1">
      <c r="A9" s="139" t="str">
        <f>'t1'!A8</f>
        <v>CONTRATTISTI (a)</v>
      </c>
      <c r="B9" s="188" t="str">
        <f>'t1'!B8</f>
        <v>000061</v>
      </c>
      <c r="C9" s="335">
        <f>'t1'!K8</f>
        <v>0</v>
      </c>
      <c r="D9" s="335">
        <f>'t7'!W8</f>
        <v>0</v>
      </c>
      <c r="E9" s="336">
        <f>'t8'!AA8</f>
        <v>0</v>
      </c>
      <c r="F9" s="336">
        <f>'t9'!O8</f>
        <v>0</v>
      </c>
      <c r="G9" s="103" t="str">
        <f>IF(COUNTIF(C9:F9,C9)=4,"OK","ERRORE")</f>
        <v>OK</v>
      </c>
      <c r="H9" s="336">
        <f>'t1'!L8</f>
        <v>0</v>
      </c>
      <c r="I9" s="336">
        <f>'t7'!X8</f>
        <v>0</v>
      </c>
      <c r="J9" s="336">
        <f>'t8'!AB8</f>
        <v>0</v>
      </c>
      <c r="K9" s="335">
        <f>'t9'!P8</f>
        <v>0</v>
      </c>
      <c r="L9" s="103" t="str">
        <f>IF(COUNTIF(H9:K9,H9)=4,"OK","ERRORE")</f>
        <v>OK</v>
      </c>
    </row>
    <row r="10" spans="1:12" ht="15.75" customHeight="1">
      <c r="A10" s="139" t="str">
        <f>'t1'!A9</f>
        <v>TOTALE</v>
      </c>
      <c r="B10" s="178"/>
      <c r="C10" s="336">
        <f>SUM(C7:C9)</f>
        <v>0</v>
      </c>
      <c r="D10" s="336">
        <f>SUM(D7:D9)</f>
        <v>0</v>
      </c>
      <c r="E10" s="336">
        <f>SUM(E7:E9)</f>
        <v>0</v>
      </c>
      <c r="F10" s="336">
        <f>SUM(F7:F9)</f>
        <v>0</v>
      </c>
      <c r="G10" s="103" t="str">
        <f>IF(COUNTIF(C10:F10,C10)=4,"OK","ERRORE")</f>
        <v>OK</v>
      </c>
      <c r="H10" s="336">
        <f>SUM(H7:H9)</f>
        <v>0</v>
      </c>
      <c r="I10" s="336">
        <f>SUM(I7:I9)</f>
        <v>0</v>
      </c>
      <c r="J10" s="336">
        <f>SUM(J7:J9)</f>
        <v>0</v>
      </c>
      <c r="K10" s="336">
        <f>SUM(K7:K9)</f>
        <v>0</v>
      </c>
      <c r="L10" s="103" t="str">
        <f>IF(COUNTIF(H10:K10,H10)=4,"OK","ERRORE")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sheetPr codeName="Foglio24">
    <tabColor indexed="10"/>
  </sheetPr>
  <dimension ref="A1:AB11"/>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5" sqref="B5"/>
    </sheetView>
  </sheetViews>
  <sheetFormatPr defaultColWidth="9.33203125" defaultRowHeight="10.5"/>
  <cols>
    <col min="1" max="1" width="37.3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045" t="str">
        <f>'t1'!A1</f>
        <v>ENTI ART. 60 - anno 2019</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5"/>
      <c r="AB1" s="726"/>
    </row>
    <row r="2" spans="1:28" ht="36" customHeight="1">
      <c r="A2" s="1124" t="s">
        <v>514</v>
      </c>
      <c r="B2" s="1124"/>
      <c r="C2" s="1124"/>
      <c r="D2" s="1124"/>
      <c r="E2" s="1124"/>
      <c r="F2" s="1124"/>
      <c r="G2" s="1124"/>
      <c r="H2" s="1124"/>
      <c r="I2" s="1124"/>
      <c r="J2" s="1124"/>
      <c r="K2" s="1124"/>
      <c r="L2" s="1124"/>
      <c r="M2" s="1124"/>
      <c r="N2" s="796"/>
      <c r="O2" s="811"/>
      <c r="P2" s="482"/>
      <c r="Q2" s="482"/>
      <c r="R2" s="482"/>
      <c r="S2" s="482"/>
      <c r="T2" s="482"/>
      <c r="U2" s="482"/>
      <c r="V2" s="482"/>
      <c r="W2" s="482"/>
      <c r="X2" s="482"/>
      <c r="Y2" s="482"/>
      <c r="Z2" s="482"/>
      <c r="AA2" s="796"/>
      <c r="AB2" s="482"/>
    </row>
    <row r="3" spans="1:28" ht="18.75" customHeight="1">
      <c r="A3" s="198"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P3" s="5"/>
      <c r="Q3" s="5"/>
      <c r="R3" s="5"/>
      <c r="S3" s="5"/>
      <c r="T3" s="5"/>
      <c r="U3" s="5"/>
      <c r="V3" s="5"/>
      <c r="W3" s="5"/>
      <c r="X3" s="5"/>
      <c r="Y3" s="5"/>
      <c r="Z3" s="5"/>
      <c r="AB3" s="5"/>
    </row>
    <row r="4" spans="1:28" ht="12">
      <c r="A4" s="313" t="s">
        <v>229</v>
      </c>
      <c r="C4" s="5"/>
      <c r="D4" s="5"/>
      <c r="E4" s="5"/>
      <c r="F4" s="5"/>
      <c r="G4" s="5"/>
      <c r="H4" s="5"/>
      <c r="I4" s="5"/>
      <c r="J4" s="5"/>
      <c r="K4" s="5"/>
      <c r="L4" s="5"/>
      <c r="M4" s="5"/>
      <c r="P4" s="5"/>
      <c r="Q4" s="5"/>
      <c r="R4" s="5"/>
      <c r="S4" s="5"/>
      <c r="T4" s="5"/>
      <c r="U4" s="5"/>
      <c r="V4" s="5"/>
      <c r="W4" s="5"/>
      <c r="X4" s="5"/>
      <c r="Y4" s="5"/>
      <c r="Z4" s="5"/>
      <c r="AB4" s="5"/>
    </row>
    <row r="5" spans="1:28" ht="12.75">
      <c r="A5" s="182"/>
      <c r="B5" s="179"/>
      <c r="C5" s="1121" t="s">
        <v>258</v>
      </c>
      <c r="D5" s="1122"/>
      <c r="E5" s="1122"/>
      <c r="F5" s="1122"/>
      <c r="G5" s="1122"/>
      <c r="H5" s="1122"/>
      <c r="I5" s="1122"/>
      <c r="J5" s="1122"/>
      <c r="K5" s="1122"/>
      <c r="L5" s="1122"/>
      <c r="M5" s="1122"/>
      <c r="N5" s="1122"/>
      <c r="O5" s="1122"/>
      <c r="P5" s="1121" t="s">
        <v>259</v>
      </c>
      <c r="Q5" s="1122"/>
      <c r="R5" s="1122"/>
      <c r="S5" s="1122"/>
      <c r="T5" s="1122"/>
      <c r="U5" s="1122"/>
      <c r="V5" s="1122"/>
      <c r="W5" s="1122"/>
      <c r="X5" s="1122"/>
      <c r="Y5" s="1122"/>
      <c r="Z5" s="1122"/>
      <c r="AA5" s="1122"/>
      <c r="AB5" s="1123"/>
    </row>
    <row r="6" spans="1:28" s="197" customFormat="1" ht="64.5" customHeight="1">
      <c r="A6" s="186" t="s">
        <v>199</v>
      </c>
      <c r="B6" s="186" t="s">
        <v>198</v>
      </c>
      <c r="C6" s="186" t="str">
        <f>"Presenti 31.12."&amp;'t1'!L1&amp;" (Tab 1)"</f>
        <v>Presenti 31.12.2019 (Tab 1)</v>
      </c>
      <c r="D6" s="186" t="s">
        <v>212</v>
      </c>
      <c r="E6" s="186" t="s">
        <v>211</v>
      </c>
      <c r="F6" s="186" t="s">
        <v>325</v>
      </c>
      <c r="G6" s="186" t="s">
        <v>228</v>
      </c>
      <c r="H6" s="186" t="s">
        <v>213</v>
      </c>
      <c r="I6" s="186" t="s">
        <v>326</v>
      </c>
      <c r="J6" s="620" t="s">
        <v>568</v>
      </c>
      <c r="K6" s="620" t="s">
        <v>569</v>
      </c>
      <c r="L6" s="186" t="s">
        <v>230</v>
      </c>
      <c r="M6" s="186" t="s">
        <v>231</v>
      </c>
      <c r="N6" s="620" t="s">
        <v>509</v>
      </c>
      <c r="O6" s="620" t="s">
        <v>510</v>
      </c>
      <c r="P6" s="186" t="str">
        <f>"Presenti 31.12."&amp;'t1'!L1&amp;" (Tab 1)"</f>
        <v>Presenti 31.12.2019 (Tab 1)</v>
      </c>
      <c r="Q6" s="186" t="s">
        <v>212</v>
      </c>
      <c r="R6" s="186" t="s">
        <v>211</v>
      </c>
      <c r="S6" s="186" t="s">
        <v>325</v>
      </c>
      <c r="T6" s="186" t="s">
        <v>228</v>
      </c>
      <c r="U6" s="186" t="s">
        <v>213</v>
      </c>
      <c r="V6" s="186" t="s">
        <v>326</v>
      </c>
      <c r="W6" s="620" t="s">
        <v>568</v>
      </c>
      <c r="X6" s="620" t="s">
        <v>569</v>
      </c>
      <c r="Y6" s="186" t="s">
        <v>230</v>
      </c>
      <c r="Z6" s="186" t="s">
        <v>231</v>
      </c>
      <c r="AA6" s="620" t="s">
        <v>509</v>
      </c>
      <c r="AB6" s="620" t="s">
        <v>510</v>
      </c>
    </row>
    <row r="7" spans="1:28" s="195" customFormat="1" ht="21.75">
      <c r="A7" s="194"/>
      <c r="B7" s="194"/>
      <c r="C7" s="191" t="s">
        <v>200</v>
      </c>
      <c r="D7" s="191" t="s">
        <v>201</v>
      </c>
      <c r="E7" s="191" t="s">
        <v>202</v>
      </c>
      <c r="F7" s="191" t="s">
        <v>203</v>
      </c>
      <c r="G7" s="192" t="s">
        <v>204</v>
      </c>
      <c r="H7" s="192" t="s">
        <v>224</v>
      </c>
      <c r="I7" s="192" t="s">
        <v>206</v>
      </c>
      <c r="J7" s="192" t="s">
        <v>214</v>
      </c>
      <c r="K7" s="192" t="s">
        <v>215</v>
      </c>
      <c r="L7" s="192" t="s">
        <v>6</v>
      </c>
      <c r="M7" s="192" t="s">
        <v>7</v>
      </c>
      <c r="N7" s="192" t="s">
        <v>511</v>
      </c>
      <c r="O7" s="192" t="s">
        <v>8</v>
      </c>
      <c r="P7" s="191" t="s">
        <v>216</v>
      </c>
      <c r="Q7" s="191" t="s">
        <v>217</v>
      </c>
      <c r="R7" s="191" t="s">
        <v>218</v>
      </c>
      <c r="S7" s="191" t="s">
        <v>327</v>
      </c>
      <c r="T7" s="192" t="s">
        <v>219</v>
      </c>
      <c r="U7" s="192" t="s">
        <v>328</v>
      </c>
      <c r="V7" s="192" t="s">
        <v>329</v>
      </c>
      <c r="W7" s="192" t="s">
        <v>9</v>
      </c>
      <c r="X7" s="192" t="s">
        <v>330</v>
      </c>
      <c r="Y7" s="192" t="s">
        <v>10</v>
      </c>
      <c r="Z7" s="192" t="s">
        <v>11</v>
      </c>
      <c r="AA7" s="192" t="s">
        <v>512</v>
      </c>
      <c r="AB7" s="192" t="s">
        <v>12</v>
      </c>
    </row>
    <row r="8" spans="1:28" ht="12.75" customHeight="1">
      <c r="A8" s="139" t="str">
        <f>'t1'!A6</f>
        <v>PERSONALE DIRIGENTE</v>
      </c>
      <c r="B8" s="188" t="str">
        <f>'t1'!B6</f>
        <v>0D00NF</v>
      </c>
      <c r="C8" s="335">
        <f>'t1'!K6</f>
        <v>0</v>
      </c>
      <c r="D8" s="335">
        <f>'t3'!M6</f>
        <v>0</v>
      </c>
      <c r="E8" s="336">
        <f>'t3'!O6</f>
        <v>0</v>
      </c>
      <c r="F8" s="336">
        <f>'t3'!Q6</f>
        <v>0</v>
      </c>
      <c r="G8" s="336">
        <f>'t3'!C6</f>
        <v>0</v>
      </c>
      <c r="H8" s="336">
        <f>'t3'!E6</f>
        <v>0</v>
      </c>
      <c r="I8" s="336">
        <f>'t3'!G6</f>
        <v>0</v>
      </c>
      <c r="J8" s="336">
        <f>'t3'!I6</f>
        <v>0</v>
      </c>
      <c r="K8" s="336">
        <f>'t3'!K6</f>
        <v>0</v>
      </c>
      <c r="L8" s="336">
        <f>C8+D8+E8+F8-G8-H8-I8-J8-K8</f>
        <v>0</v>
      </c>
      <c r="M8" s="336">
        <f>'t10'!AU6</f>
        <v>0</v>
      </c>
      <c r="N8" s="812" t="str">
        <f>IF(C8&lt;(G8+H8+I8+J8+K8),"ERRORE","OK")</f>
        <v>OK</v>
      </c>
      <c r="O8" s="103" t="str">
        <f>IF(L8=M8,"OK","ERRORE")</f>
        <v>OK</v>
      </c>
      <c r="P8" s="335">
        <f>'t1'!L6</f>
        <v>0</v>
      </c>
      <c r="Q8" s="335">
        <f>'t3'!N6</f>
        <v>0</v>
      </c>
      <c r="R8" s="336">
        <f>'t3'!P6</f>
        <v>0</v>
      </c>
      <c r="S8" s="336">
        <f>'t3'!R6</f>
        <v>0</v>
      </c>
      <c r="T8" s="336">
        <f>'t3'!D6</f>
        <v>0</v>
      </c>
      <c r="U8" s="336">
        <f>'t3'!F6</f>
        <v>0</v>
      </c>
      <c r="V8" s="336">
        <f>'t3'!H6</f>
        <v>0</v>
      </c>
      <c r="W8" s="336">
        <f>'t3'!J6</f>
        <v>0</v>
      </c>
      <c r="X8" s="336">
        <f>'t3'!L6</f>
        <v>0</v>
      </c>
      <c r="Y8" s="336">
        <f>P8+Q8+R8+S8-T8-U8-V8-W8-X8</f>
        <v>0</v>
      </c>
      <c r="Z8" s="336">
        <f>'t10'!AV6</f>
        <v>0</v>
      </c>
      <c r="AA8" s="812" t="str">
        <f>IF(P8&lt;(T8+U8+V8+W8+X8),"ERRORE","OK")</f>
        <v>OK</v>
      </c>
      <c r="AB8" s="193" t="str">
        <f>IF(Y8=Z8,"OK","ERRORE")</f>
        <v>OK</v>
      </c>
    </row>
    <row r="9" spans="1:28" ht="12.75" customHeight="1">
      <c r="A9" s="139" t="str">
        <f>'t1'!A7</f>
        <v>PERSONALE NON DIRIGENTE</v>
      </c>
      <c r="B9" s="188" t="str">
        <f>'t1'!B7</f>
        <v>0000ND</v>
      </c>
      <c r="C9" s="335">
        <f>'t1'!K7</f>
        <v>0</v>
      </c>
      <c r="D9" s="335">
        <f>'t3'!M7</f>
        <v>0</v>
      </c>
      <c r="E9" s="336">
        <f>'t3'!O7</f>
        <v>0</v>
      </c>
      <c r="F9" s="336">
        <f>'t3'!Q7</f>
        <v>0</v>
      </c>
      <c r="G9" s="336">
        <f>'t3'!C7</f>
        <v>0</v>
      </c>
      <c r="H9" s="336">
        <f>'t3'!E7</f>
        <v>0</v>
      </c>
      <c r="I9" s="336">
        <f>'t3'!G7</f>
        <v>0</v>
      </c>
      <c r="J9" s="336">
        <f>'t3'!I7</f>
        <v>0</v>
      </c>
      <c r="K9" s="336">
        <f>'t3'!K7</f>
        <v>0</v>
      </c>
      <c r="L9" s="336">
        <f>C9+D9+E9+F9-G9-H9-I9-J9-K9</f>
        <v>0</v>
      </c>
      <c r="M9" s="336">
        <f>'t10'!AU7</f>
        <v>0</v>
      </c>
      <c r="N9" s="812" t="str">
        <f>IF(C9&lt;(G9+H9+I9+J9+K9),"ERRORE","OK")</f>
        <v>OK</v>
      </c>
      <c r="O9" s="103" t="str">
        <f>IF(L9=M9,"OK","ERRORE")</f>
        <v>OK</v>
      </c>
      <c r="P9" s="335">
        <f>'t1'!L7</f>
        <v>0</v>
      </c>
      <c r="Q9" s="335">
        <f>'t3'!N7</f>
        <v>0</v>
      </c>
      <c r="R9" s="336">
        <f>'t3'!P7</f>
        <v>0</v>
      </c>
      <c r="S9" s="336">
        <f>'t3'!R7</f>
        <v>0</v>
      </c>
      <c r="T9" s="336">
        <f>'t3'!D7</f>
        <v>0</v>
      </c>
      <c r="U9" s="336">
        <f>'t3'!F7</f>
        <v>0</v>
      </c>
      <c r="V9" s="336">
        <f>'t3'!H7</f>
        <v>0</v>
      </c>
      <c r="W9" s="336">
        <f>'t3'!J7</f>
        <v>0</v>
      </c>
      <c r="X9" s="336">
        <f>'t3'!L7</f>
        <v>0</v>
      </c>
      <c r="Y9" s="336">
        <f>P9+Q9+R9+S9-T9-U9-V9-W9-X9</f>
        <v>0</v>
      </c>
      <c r="Z9" s="336">
        <f>'t10'!AV7</f>
        <v>0</v>
      </c>
      <c r="AA9" s="812" t="str">
        <f>IF(P9&lt;(T9+U9+V9+W9+X9),"ERRORE","OK")</f>
        <v>OK</v>
      </c>
      <c r="AB9" s="193" t="str">
        <f>IF(Y9=Z9,"OK","ERRORE")</f>
        <v>OK</v>
      </c>
    </row>
    <row r="10" spans="1:28" ht="12.75" customHeight="1">
      <c r="A10" s="139" t="str">
        <f>'t1'!A8</f>
        <v>CONTRATTISTI (a)</v>
      </c>
      <c r="B10" s="188" t="str">
        <f>'t1'!B8</f>
        <v>000061</v>
      </c>
      <c r="C10" s="335">
        <f>'t1'!K8</f>
        <v>0</v>
      </c>
      <c r="D10" s="335">
        <f>'t3'!M8</f>
        <v>0</v>
      </c>
      <c r="E10" s="336">
        <f>'t3'!O8</f>
        <v>0</v>
      </c>
      <c r="F10" s="336">
        <f>'t3'!Q8</f>
        <v>0</v>
      </c>
      <c r="G10" s="336">
        <f>'t3'!C8</f>
        <v>0</v>
      </c>
      <c r="H10" s="336">
        <f>'t3'!E8</f>
        <v>0</v>
      </c>
      <c r="I10" s="336">
        <f>'t3'!G8</f>
        <v>0</v>
      </c>
      <c r="J10" s="336">
        <f>'t3'!I8</f>
        <v>0</v>
      </c>
      <c r="K10" s="336">
        <f>'t3'!K8</f>
        <v>0</v>
      </c>
      <c r="L10" s="336">
        <f>C10+D10+E10+F10-G10-H10-I10-J10-K10</f>
        <v>0</v>
      </c>
      <c r="M10" s="336">
        <f>'t10'!AU8</f>
        <v>0</v>
      </c>
      <c r="N10" s="812" t="str">
        <f>IF(C10&lt;(G10+H10+I10+J10+K10),"ERRORE","OK")</f>
        <v>OK</v>
      </c>
      <c r="O10" s="103" t="str">
        <f>IF(L10=M10,"OK","ERRORE")</f>
        <v>OK</v>
      </c>
      <c r="P10" s="335">
        <f>'t1'!L8</f>
        <v>0</v>
      </c>
      <c r="Q10" s="335">
        <f>'t3'!N8</f>
        <v>0</v>
      </c>
      <c r="R10" s="336">
        <f>'t3'!P8</f>
        <v>0</v>
      </c>
      <c r="S10" s="336">
        <f>'t3'!R8</f>
        <v>0</v>
      </c>
      <c r="T10" s="336">
        <f>'t3'!D8</f>
        <v>0</v>
      </c>
      <c r="U10" s="336">
        <f>'t3'!F8</f>
        <v>0</v>
      </c>
      <c r="V10" s="336">
        <f>'t3'!H8</f>
        <v>0</v>
      </c>
      <c r="W10" s="336">
        <f>'t3'!J8</f>
        <v>0</v>
      </c>
      <c r="X10" s="336">
        <f>'t3'!L8</f>
        <v>0</v>
      </c>
      <c r="Y10" s="336">
        <f>P10+Q10+R10+S10-T10-U10-V10-W10-X10</f>
        <v>0</v>
      </c>
      <c r="Z10" s="336">
        <f>'t10'!AV8</f>
        <v>0</v>
      </c>
      <c r="AA10" s="812" t="str">
        <f>IF(P10&lt;(T10+U10+V10+W10+X10),"ERRORE","OK")</f>
        <v>OK</v>
      </c>
      <c r="AB10" s="193" t="str">
        <f>IF(Y10=Z10,"OK","ERRORE")</f>
        <v>OK</v>
      </c>
    </row>
    <row r="11" spans="1:28" ht="15.75" customHeight="1">
      <c r="A11" s="139" t="str">
        <f>'t1'!A9</f>
        <v>TOTALE</v>
      </c>
      <c r="B11" s="178"/>
      <c r="C11" s="335">
        <f aca="true" t="shared" si="0" ref="C11:M11">SUM(C8:C10)</f>
        <v>0</v>
      </c>
      <c r="D11" s="335">
        <f t="shared" si="0"/>
        <v>0</v>
      </c>
      <c r="E11" s="335">
        <f t="shared" si="0"/>
        <v>0</v>
      </c>
      <c r="F11" s="335">
        <f t="shared" si="0"/>
        <v>0</v>
      </c>
      <c r="G11" s="335">
        <f t="shared" si="0"/>
        <v>0</v>
      </c>
      <c r="H11" s="335">
        <f t="shared" si="0"/>
        <v>0</v>
      </c>
      <c r="I11" s="335">
        <f t="shared" si="0"/>
        <v>0</v>
      </c>
      <c r="J11" s="335">
        <f t="shared" si="0"/>
        <v>0</v>
      </c>
      <c r="K11" s="335">
        <f t="shared" si="0"/>
        <v>0</v>
      </c>
      <c r="L11" s="335">
        <f t="shared" si="0"/>
        <v>0</v>
      </c>
      <c r="M11" s="335">
        <f t="shared" si="0"/>
        <v>0</v>
      </c>
      <c r="N11" s="812" t="str">
        <f>IF(C11&lt;(G11+H11+I11+J11+K11),"ERRORE","OK")</f>
        <v>OK</v>
      </c>
      <c r="O11" s="103" t="str">
        <f>IF(L11=M11,"OK","ERRORE")</f>
        <v>OK</v>
      </c>
      <c r="P11" s="335">
        <f aca="true" t="shared" si="1" ref="P11:Z11">SUM(P8:P10)</f>
        <v>0</v>
      </c>
      <c r="Q11" s="335">
        <f t="shared" si="1"/>
        <v>0</v>
      </c>
      <c r="R11" s="335">
        <f t="shared" si="1"/>
        <v>0</v>
      </c>
      <c r="S11" s="335">
        <f t="shared" si="1"/>
        <v>0</v>
      </c>
      <c r="T11" s="335">
        <f t="shared" si="1"/>
        <v>0</v>
      </c>
      <c r="U11" s="335">
        <f t="shared" si="1"/>
        <v>0</v>
      </c>
      <c r="V11" s="335">
        <f t="shared" si="1"/>
        <v>0</v>
      </c>
      <c r="W11" s="335">
        <f t="shared" si="1"/>
        <v>0</v>
      </c>
      <c r="X11" s="335">
        <f t="shared" si="1"/>
        <v>0</v>
      </c>
      <c r="Y11" s="335">
        <f t="shared" si="1"/>
        <v>0</v>
      </c>
      <c r="Z11" s="335">
        <f t="shared" si="1"/>
        <v>0</v>
      </c>
      <c r="AA11" s="812" t="str">
        <f>IF(P11&lt;(T11+U11+V11+W11+X11),"ERRORE","OK")</f>
        <v>OK</v>
      </c>
      <c r="AB11" s="193" t="str">
        <f>IF(Y11=Z11,"OK","ERRORE")</f>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3.xml><?xml version="1.0" encoding="utf-8"?>
<worksheet xmlns="http://schemas.openxmlformats.org/spreadsheetml/2006/main" xmlns:r="http://schemas.openxmlformats.org/officeDocument/2006/relationships">
  <sheetPr codeName="Foglio25"/>
  <dimension ref="A1:M9"/>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045" t="str">
        <f>'t1'!A1</f>
        <v>ENTI ART. 60 - anno 2019</v>
      </c>
      <c r="B1" s="1045"/>
      <c r="C1" s="1045"/>
      <c r="D1" s="1045"/>
      <c r="E1" s="1045"/>
      <c r="F1" s="1045"/>
      <c r="G1" s="1045"/>
      <c r="H1" s="311"/>
      <c r="I1" s="308"/>
      <c r="K1" s="3"/>
      <c r="M1"/>
    </row>
    <row r="2" spans="2:13" ht="12.75" customHeight="1">
      <c r="B2" s="5"/>
      <c r="C2" s="5"/>
      <c r="D2" s="1117"/>
      <c r="E2" s="1117"/>
      <c r="F2" s="1117"/>
      <c r="G2" s="1117"/>
      <c r="H2" s="1117"/>
      <c r="I2" s="1117"/>
      <c r="J2" s="312"/>
      <c r="K2" s="3"/>
      <c r="M2"/>
    </row>
    <row r="3" spans="1:9" ht="21" customHeight="1">
      <c r="A3" s="198" t="s">
        <v>260</v>
      </c>
      <c r="C3" s="5"/>
      <c r="D3" s="5"/>
      <c r="E3" s="5"/>
      <c r="F3" s="5"/>
      <c r="G3" s="5"/>
      <c r="H3" s="5"/>
      <c r="I3" s="5"/>
    </row>
    <row r="4" spans="1:9" ht="49.5" customHeight="1">
      <c r="A4" s="186" t="s">
        <v>199</v>
      </c>
      <c r="B4" s="186" t="s">
        <v>198</v>
      </c>
      <c r="C4" s="186" t="str">
        <f>"Presenti 31.12 anno precedente (Tab 1)"</f>
        <v>Presenti 31.12 anno precedente (Tab 1)</v>
      </c>
      <c r="D4" s="186" t="s">
        <v>220</v>
      </c>
      <c r="E4" s="186" t="s">
        <v>221</v>
      </c>
      <c r="F4" s="186" t="s">
        <v>222</v>
      </c>
      <c r="G4" s="186" t="s">
        <v>233</v>
      </c>
      <c r="H4" s="186" t="s">
        <v>223</v>
      </c>
      <c r="I4" s="186" t="s">
        <v>190</v>
      </c>
    </row>
    <row r="5" spans="1:9" ht="11.25">
      <c r="A5" s="186"/>
      <c r="B5" s="186"/>
      <c r="C5" s="196" t="s">
        <v>200</v>
      </c>
      <c r="D5" s="196" t="s">
        <v>201</v>
      </c>
      <c r="E5" s="196" t="s">
        <v>202</v>
      </c>
      <c r="F5" s="196" t="s">
        <v>203</v>
      </c>
      <c r="G5" s="196" t="s">
        <v>232</v>
      </c>
      <c r="H5" s="196" t="s">
        <v>224</v>
      </c>
      <c r="I5" s="196" t="s">
        <v>225</v>
      </c>
    </row>
    <row r="6" spans="1:9" ht="12.75" customHeight="1">
      <c r="A6" s="139" t="str">
        <f>'t1'!A6</f>
        <v>PERSONALE DIRIGENTE</v>
      </c>
      <c r="B6" s="188" t="str">
        <f>'t1'!B6</f>
        <v>0D00NF</v>
      </c>
      <c r="C6" s="335">
        <f>'t1'!C6+'t1'!D6</f>
        <v>0</v>
      </c>
      <c r="D6" s="335">
        <f>'t5'!S7+'t5'!T7</f>
        <v>0</v>
      </c>
      <c r="E6" s="336">
        <f>'t6'!U7+'t6'!V7</f>
        <v>0</v>
      </c>
      <c r="F6" s="336">
        <f>'t4'!C9</f>
        <v>0</v>
      </c>
      <c r="G6" s="336">
        <f>C6-D6+E6+F6</f>
        <v>0</v>
      </c>
      <c r="H6" s="336">
        <f>'t4'!F6</f>
        <v>0</v>
      </c>
      <c r="I6" s="179" t="str">
        <f>IF(H6&lt;=G6,"OK","ERRORE")</f>
        <v>OK</v>
      </c>
    </row>
    <row r="7" spans="1:9" ht="12.75" customHeight="1">
      <c r="A7" s="139" t="str">
        <f>'t1'!A7</f>
        <v>PERSONALE NON DIRIGENTE</v>
      </c>
      <c r="B7" s="188" t="str">
        <f>'t1'!B7</f>
        <v>0000ND</v>
      </c>
      <c r="C7" s="335">
        <f>'t1'!C7+'t1'!D7</f>
        <v>0</v>
      </c>
      <c r="D7" s="335">
        <f>'t5'!S8+'t5'!T8</f>
        <v>0</v>
      </c>
      <c r="E7" s="336">
        <f>'t6'!U8+'t6'!V8</f>
        <v>0</v>
      </c>
      <c r="F7" s="336">
        <f>'t4'!D9</f>
        <v>0</v>
      </c>
      <c r="G7" s="336">
        <f>C7-D7+E7+F7</f>
        <v>0</v>
      </c>
      <c r="H7" s="336">
        <f>'t4'!F7</f>
        <v>0</v>
      </c>
      <c r="I7" s="179" t="str">
        <f>IF(H7&lt;=G7,"OK","ERRORE")</f>
        <v>OK</v>
      </c>
    </row>
    <row r="8" spans="1:9" ht="12.75" customHeight="1">
      <c r="A8" s="139" t="str">
        <f>'t1'!A8</f>
        <v>CONTRATTISTI (a)</v>
      </c>
      <c r="B8" s="188" t="str">
        <f>'t1'!B8</f>
        <v>000061</v>
      </c>
      <c r="C8" s="335">
        <f>'t1'!C8+'t1'!D8</f>
        <v>0</v>
      </c>
      <c r="D8" s="335">
        <f>'t5'!S9+'t5'!T9</f>
        <v>0</v>
      </c>
      <c r="E8" s="336">
        <f>'t6'!U9+'t6'!V9</f>
        <v>0</v>
      </c>
      <c r="F8" s="336">
        <f>'t4'!E9</f>
        <v>0</v>
      </c>
      <c r="G8" s="336">
        <f>C8-D8+E8+F8</f>
        <v>0</v>
      </c>
      <c r="H8" s="336">
        <f>'t4'!F8</f>
        <v>0</v>
      </c>
      <c r="I8" s="179" t="str">
        <f>IF(H8&lt;=G8,"OK","ERRORE")</f>
        <v>OK</v>
      </c>
    </row>
    <row r="9" spans="1:9" s="342" customFormat="1" ht="15.75" customHeight="1">
      <c r="A9" s="721" t="str">
        <f>'t1'!A9</f>
        <v>TOTALE</v>
      </c>
      <c r="B9" s="209"/>
      <c r="C9" s="359">
        <f aca="true" t="shared" si="0" ref="C9:H9">SUM(C6:C8)</f>
        <v>0</v>
      </c>
      <c r="D9" s="359">
        <f t="shared" si="0"/>
        <v>0</v>
      </c>
      <c r="E9" s="359">
        <f t="shared" si="0"/>
        <v>0</v>
      </c>
      <c r="F9" s="359">
        <f t="shared" si="0"/>
        <v>0</v>
      </c>
      <c r="G9" s="359">
        <f t="shared" si="0"/>
        <v>0</v>
      </c>
      <c r="H9" s="359">
        <f t="shared" si="0"/>
        <v>0</v>
      </c>
      <c r="I9" s="180" t="str">
        <f>IF(H9&lt;=G9,"OK","ERRORE")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4.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045" t="str">
        <f>'t1'!A1</f>
        <v>ENTI ART. 60 - anno 2019</v>
      </c>
      <c r="B1" s="1045"/>
      <c r="C1" s="1045"/>
      <c r="D1" s="1045"/>
      <c r="E1" s="308"/>
      <c r="F1" s="311"/>
      <c r="G1" s="311"/>
      <c r="H1" s="311"/>
      <c r="I1" s="311"/>
      <c r="K1" s="3"/>
      <c r="M1"/>
    </row>
    <row r="2" spans="1:13" ht="16.5" thickBot="1">
      <c r="A2" s="912" t="s">
        <v>537</v>
      </c>
      <c r="C2" s="1117"/>
      <c r="D2" s="1117"/>
      <c r="E2" s="1117"/>
      <c r="F2" s="312"/>
      <c r="G2" s="312"/>
      <c r="H2" s="312"/>
      <c r="I2" s="312"/>
      <c r="K2" s="3"/>
      <c r="M2"/>
    </row>
    <row r="3" spans="1:5" ht="30" customHeight="1" thickBot="1">
      <c r="A3" s="1125" t="s">
        <v>538</v>
      </c>
      <c r="B3" s="1126"/>
      <c r="C3" s="1126"/>
      <c r="D3" s="1126"/>
      <c r="E3" s="1127"/>
    </row>
    <row r="4" spans="1:5" s="199" customFormat="1" ht="31.5">
      <c r="A4" s="670" t="s">
        <v>539</v>
      </c>
      <c r="B4" s="671" t="s">
        <v>540</v>
      </c>
      <c r="C4" s="671" t="s">
        <v>234</v>
      </c>
      <c r="D4" s="672" t="s">
        <v>235</v>
      </c>
      <c r="E4" s="673" t="s">
        <v>424</v>
      </c>
    </row>
    <row r="5" spans="1:5" ht="20.25" customHeight="1">
      <c r="A5" s="203" t="s">
        <v>41</v>
      </c>
      <c r="B5" s="817">
        <f>SI_1!G56</f>
        <v>0</v>
      </c>
      <c r="C5" s="207">
        <f>'t14'!D12</f>
        <v>0</v>
      </c>
      <c r="D5" s="210" t="str">
        <f>IF(B5=0,IF(C5=0,"OK","MANCANO LE UNITA'"),IF(C5=0,"MANCANO LE SPESE","OK"))</f>
        <v>OK</v>
      </c>
      <c r="E5" s="206" t="str">
        <f>IF(AND(B5&gt;0,C5&gt;0),C5/B5," ")</f>
        <v> </v>
      </c>
    </row>
    <row r="6" spans="1:5" ht="20.25" customHeight="1">
      <c r="A6" s="203" t="s">
        <v>15</v>
      </c>
      <c r="B6" s="817">
        <f>SI_1!G59</f>
        <v>0</v>
      </c>
      <c r="C6" s="207">
        <f>'t14'!D13</f>
        <v>0</v>
      </c>
      <c r="D6" s="210" t="str">
        <f>IF(B6=0,IF(C6=0,"OK","MANCANO LE UNITA'"),IF(C6=0,"MANCANO LE SPESE","OK"))</f>
        <v>OK</v>
      </c>
      <c r="E6" s="206" t="str">
        <f>IF(AND(B6&gt;0,C6&gt;0),C6/B6," ")</f>
        <v> </v>
      </c>
    </row>
    <row r="7" spans="1:5" ht="20.25" customHeight="1" thickBot="1">
      <c r="A7" s="204" t="s">
        <v>16</v>
      </c>
      <c r="B7" s="818">
        <f>SI_1!G62</f>
        <v>0</v>
      </c>
      <c r="C7" s="208">
        <f>'t14'!D14</f>
        <v>0</v>
      </c>
      <c r="D7" s="211" t="str">
        <f>IF(B7=0,IF(C7=0,"OK","MANCANO LE UNITA'"),IF(C7=0,"MANCANO LE SPESE","OK"))</f>
        <v>OK</v>
      </c>
      <c r="E7" s="500" t="str">
        <f>IF(AND(B7&gt;0,C7&gt;0),C7/B7," ")</f>
        <v> </v>
      </c>
    </row>
    <row r="10" ht="16.5" thickBot="1">
      <c r="A10" s="913" t="s">
        <v>541</v>
      </c>
    </row>
    <row r="11" spans="1:5" ht="30" customHeight="1" thickBot="1">
      <c r="A11" s="1125" t="s">
        <v>542</v>
      </c>
      <c r="B11" s="1126"/>
      <c r="C11" s="1126"/>
      <c r="D11" s="1126"/>
      <c r="E11" s="1127"/>
    </row>
    <row r="12" spans="1:5" s="199" customFormat="1" ht="32.25" thickBot="1">
      <c r="A12" s="670" t="s">
        <v>543</v>
      </c>
      <c r="B12" s="671" t="s">
        <v>544</v>
      </c>
      <c r="C12" s="671" t="s">
        <v>234</v>
      </c>
      <c r="D12" s="672" t="s">
        <v>235</v>
      </c>
      <c r="E12" s="673" t="s">
        <v>424</v>
      </c>
    </row>
    <row r="13" spans="1:5" ht="20.25" customHeight="1">
      <c r="A13" s="497" t="s">
        <v>194</v>
      </c>
      <c r="B13" s="816">
        <f>'t2'!C8+'t2'!D8</f>
        <v>0</v>
      </c>
      <c r="C13" s="498">
        <f>'t14'!D16</f>
        <v>0</v>
      </c>
      <c r="D13" s="499" t="str">
        <f>IF(B13=0,IF(C13=0,"OK","MANCANO LE UNITA'"),IF(C13=0,"MANCANO LE SPESE","OK"))</f>
        <v>OK</v>
      </c>
      <c r="E13" s="205" t="str">
        <f>IF(AND(B13&gt;0,C13&gt;0),C13/B13," ")</f>
        <v> </v>
      </c>
    </row>
    <row r="14" spans="1:5" ht="20.25" customHeight="1">
      <c r="A14" s="203" t="s">
        <v>195</v>
      </c>
      <c r="B14" s="817">
        <f>'t2'!E8+'t2'!F8</f>
        <v>0</v>
      </c>
      <c r="C14" s="207">
        <f>'t14'!D17</f>
        <v>0</v>
      </c>
      <c r="D14" s="210" t="str">
        <f>IF(B14=0,IF(C14=0,"OK","MANCANO LE UNITA'"),IF(C14=0,"MANCANO LE SPESE","OK"))</f>
        <v>OK</v>
      </c>
      <c r="E14" s="206" t="str">
        <f>IF(AND(B14&gt;0,C14&gt;0),C14/B14," ")</f>
        <v> </v>
      </c>
    </row>
    <row r="15" spans="1:5" ht="20.25" customHeight="1">
      <c r="A15" s="203" t="s">
        <v>52</v>
      </c>
      <c r="B15" s="817">
        <f>'t2'!G8+'t2'!H8</f>
        <v>0</v>
      </c>
      <c r="C15" s="207">
        <f>'t14'!D23</f>
        <v>0</v>
      </c>
      <c r="D15" s="210" t="str">
        <f>IF(B15=0,IF(C15=0,"OK","MANCANO LE UNITA'"),IF(C15=0,"MANCANO LE SPESE","OK"))</f>
        <v>OK</v>
      </c>
      <c r="E15" s="206" t="str">
        <f>IF(AND(B15&gt;0,C15&gt;0),C15/B15," ")</f>
        <v> </v>
      </c>
    </row>
    <row r="16" spans="1:5" ht="20.25" customHeight="1">
      <c r="A16" s="203" t="s">
        <v>196</v>
      </c>
      <c r="B16" s="817">
        <f>'t2'!I8+'t2'!J8</f>
        <v>0</v>
      </c>
      <c r="C16" s="207">
        <f>'t14'!D24</f>
        <v>0</v>
      </c>
      <c r="D16" s="210" t="str">
        <f>IF(B16=0,IF(C16=0,"OK","MANCANO LE UNITA'"),IF(C16=0,"MANCANO LE SPESE","OK"))</f>
        <v>OK</v>
      </c>
      <c r="E16" s="206" t="str">
        <f>IF(AND(B16&gt;0,C16&gt;0),C16/B16," ")</f>
        <v> </v>
      </c>
    </row>
    <row r="17" spans="1:5" ht="13.5" customHeight="1" thickBot="1">
      <c r="A17" s="914"/>
      <c r="B17" s="915"/>
      <c r="C17" s="915"/>
      <c r="D17" s="915"/>
      <c r="E17" s="916"/>
    </row>
    <row r="18" spans="1:5" s="199" customFormat="1" ht="31.5">
      <c r="A18" s="514" t="s">
        <v>422</v>
      </c>
      <c r="B18" s="515" t="s">
        <v>423</v>
      </c>
      <c r="C18" s="515" t="s">
        <v>234</v>
      </c>
      <c r="D18" s="516" t="s">
        <v>426</v>
      </c>
      <c r="E18" s="695" t="s">
        <v>425</v>
      </c>
    </row>
    <row r="19" spans="1:5" ht="27.75" customHeight="1">
      <c r="A19" s="669" t="str">
        <f>'t14'!A10</f>
        <v>SOMME CORRISPOSTE AD AGENZIA DI SOMMINISTRAZIONE(INTERINALI)</v>
      </c>
      <c r="B19" s="179" t="str">
        <f>'t14'!B10</f>
        <v>L105</v>
      </c>
      <c r="C19" s="714">
        <f>'t14'!D10</f>
        <v>0</v>
      </c>
      <c r="D19" s="696" t="str">
        <f>(IF(AND(C19=0,C20&gt;0),"INSERIRE SOMME SPETTANTI ALL'AGENZIA (L105)","OK"))</f>
        <v>OK</v>
      </c>
      <c r="E19" s="1128" t="str">
        <f>(IF(AND(C19&gt;0,C20&gt;0),C19/C20," "))</f>
        <v> </v>
      </c>
    </row>
    <row r="20" spans="1:5" ht="27.75" customHeight="1">
      <c r="A20" s="674" t="str">
        <f>'t14'!A23</f>
        <v>ONERI PER I CONTRATTI DI SOMMINISTRAZIONE(INTERINALI)</v>
      </c>
      <c r="B20" s="675" t="str">
        <f>'t14'!B23</f>
        <v>P062</v>
      </c>
      <c r="C20" s="715">
        <f>'t14'!D23</f>
        <v>0</v>
      </c>
      <c r="D20" s="697" t="str">
        <f>(IF(AND(C20=0,C19&gt;0),"INSERIRE RETRIBUZIONI PER INTERINALI (P062)","OK"))</f>
        <v>OK</v>
      </c>
      <c r="E20" s="1129"/>
    </row>
    <row r="21" spans="1:5" ht="40.5" customHeight="1" thickBot="1">
      <c r="A21" s="1131" t="s">
        <v>435</v>
      </c>
      <c r="B21" s="1132"/>
      <c r="C21" s="1133"/>
      <c r="D21" s="698" t="str">
        <f>(IF(AND(C19&gt;0,C20&gt;0),IF(C19&gt;(C20/100*30),"ATTENZIONE: la voce L105 supera il 30% della voce P062. L'IN1 andrà giustificata","OK"),"OK"))</f>
        <v>OK</v>
      </c>
      <c r="E21" s="1130"/>
    </row>
  </sheetData>
  <sheetProtection password="EA98" sheet="1" formatColumns="0" selectLockedCells="1" selectUnlockedCells="1"/>
  <mergeCells count="6">
    <mergeCell ref="A3:E3"/>
    <mergeCell ref="A1:D1"/>
    <mergeCell ref="C2:E2"/>
    <mergeCell ref="E19:E21"/>
    <mergeCell ref="A21:C21"/>
    <mergeCell ref="A11:E11"/>
  </mergeCells>
  <conditionalFormatting sqref="E26 D19:D21 D13:D16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27"/>
  <dimension ref="A1:M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3.16015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045" t="str">
        <f>'t1'!A1</f>
        <v>ENTI ART. 60 - anno 2019</v>
      </c>
      <c r="B1" s="1045"/>
      <c r="C1" s="1045"/>
      <c r="D1" s="1045"/>
      <c r="E1" s="1045"/>
      <c r="F1" s="1045"/>
      <c r="G1" s="1045"/>
      <c r="H1" s="1045"/>
      <c r="I1" s="308"/>
      <c r="K1" s="3"/>
      <c r="M1"/>
    </row>
    <row r="2" spans="4:13" s="5" customFormat="1" ht="12.75" customHeight="1">
      <c r="D2" s="1117"/>
      <c r="E2" s="1117"/>
      <c r="F2" s="1117"/>
      <c r="G2" s="1117"/>
      <c r="H2" s="1117"/>
      <c r="I2" s="1117"/>
      <c r="J2" s="312"/>
      <c r="K2" s="3"/>
      <c r="M2"/>
    </row>
    <row r="3" spans="1:6" s="5" customFormat="1" ht="21" customHeight="1">
      <c r="A3" s="198" t="s">
        <v>261</v>
      </c>
      <c r="B3" s="7"/>
      <c r="F3" s="7"/>
    </row>
    <row r="4" spans="1:9" ht="56.25">
      <c r="A4" s="184" t="s">
        <v>236</v>
      </c>
      <c r="B4" s="186" t="s">
        <v>198</v>
      </c>
      <c r="C4" s="185" t="s">
        <v>237</v>
      </c>
      <c r="D4" s="185" t="s">
        <v>241</v>
      </c>
      <c r="E4" s="185" t="s">
        <v>242</v>
      </c>
      <c r="F4" s="185" t="s">
        <v>243</v>
      </c>
      <c r="G4" s="185" t="s">
        <v>197</v>
      </c>
      <c r="H4" s="185" t="s">
        <v>244</v>
      </c>
      <c r="I4" s="185" t="s">
        <v>393</v>
      </c>
    </row>
    <row r="5" spans="1:10" s="202" customFormat="1" ht="10.5">
      <c r="A5" s="183"/>
      <c r="B5" s="196"/>
      <c r="C5" s="200" t="s">
        <v>200</v>
      </c>
      <c r="D5" s="200" t="s">
        <v>201</v>
      </c>
      <c r="E5" s="200" t="s">
        <v>238</v>
      </c>
      <c r="F5" s="200" t="s">
        <v>203</v>
      </c>
      <c r="G5" s="200" t="s">
        <v>239</v>
      </c>
      <c r="H5" s="200" t="s">
        <v>240</v>
      </c>
      <c r="I5" s="200" t="s">
        <v>394</v>
      </c>
      <c r="J5" s="201"/>
    </row>
    <row r="6" spans="1:9" ht="12.75">
      <c r="A6" s="139" t="str">
        <f>'t1'!A6</f>
        <v>PERSONALE DIRIGENTE</v>
      </c>
      <c r="B6" s="314" t="str">
        <f>'t1'!B6</f>
        <v>0D00NF</v>
      </c>
      <c r="C6" s="337">
        <f>'t12'!C6</f>
        <v>0</v>
      </c>
      <c r="D6" s="338">
        <f>'t12'!D6</f>
        <v>0</v>
      </c>
      <c r="E6" s="339" t="str">
        <f>IF(C6=0," ",D6/C6*12)</f>
        <v> </v>
      </c>
      <c r="F6" s="358">
        <v>0</v>
      </c>
      <c r="G6" s="339" t="str">
        <f>IF(E6=" "," ",E6-F6)</f>
        <v> </v>
      </c>
      <c r="H6" s="340" t="str">
        <f>IF(E6=" "," ",IF(F6=0," ",G6/F6))</f>
        <v> </v>
      </c>
      <c r="I6" s="319" t="str">
        <f>IF(E6=" "," ",IF(F6=0," ",IF(ABS(H6)&gt;0.02,"ERRORE","OK")))</f>
        <v> </v>
      </c>
    </row>
    <row r="7" spans="1:9" ht="12.75">
      <c r="A7" s="139" t="str">
        <f>'t1'!A7</f>
        <v>PERSONALE NON DIRIGENTE</v>
      </c>
      <c r="B7" s="314" t="str">
        <f>'t1'!B7</f>
        <v>0000ND</v>
      </c>
      <c r="C7" s="337">
        <f>'t12'!C7</f>
        <v>0</v>
      </c>
      <c r="D7" s="338">
        <f>'t12'!D7</f>
        <v>0</v>
      </c>
      <c r="E7" s="339" t="str">
        <f>IF(C7=0," ",D7/C7*12)</f>
        <v> </v>
      </c>
      <c r="F7" s="358">
        <v>0</v>
      </c>
      <c r="G7" s="339" t="str">
        <f>IF(E7=" "," ",E7-F7)</f>
        <v> </v>
      </c>
      <c r="H7" s="340" t="str">
        <f>IF(E7=" "," ",IF(F7=0," ",G7/F7))</f>
        <v> </v>
      </c>
      <c r="I7" s="319" t="str">
        <f>IF(E7=" "," ",IF(F7=0," ",IF(ABS(H7)&gt;0.02,"ERRORE","OK")))</f>
        <v> </v>
      </c>
    </row>
    <row r="8" spans="1:9" ht="12.75">
      <c r="A8" s="139" t="str">
        <f>'t1'!A8</f>
        <v>CONTRATTISTI (a)</v>
      </c>
      <c r="B8" s="314" t="str">
        <f>'t1'!B8</f>
        <v>000061</v>
      </c>
      <c r="C8" s="337">
        <f>'t12'!C8</f>
        <v>0</v>
      </c>
      <c r="D8" s="338">
        <f>'t12'!D8</f>
        <v>0</v>
      </c>
      <c r="E8" s="339" t="str">
        <f>IF(C8=0," ",D8/C8*12)</f>
        <v> </v>
      </c>
      <c r="F8" s="358">
        <v>0</v>
      </c>
      <c r="G8" s="339" t="str">
        <f>IF(E8=" "," ",E8-F8)</f>
        <v> </v>
      </c>
      <c r="H8" s="340" t="str">
        <f>IF(E8=" "," ",IF(F8=0," ",G8/F8))</f>
        <v> </v>
      </c>
      <c r="I8" s="319" t="str">
        <f>IF(E8=" "," ",IF(F8=0," ",IF(ABS(H8)&gt;0.02,"ERRORE","OK")))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6.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045" t="str">
        <f>'t1'!A1</f>
        <v>ENTI ART. 60 - anno 2019</v>
      </c>
      <c r="B1" s="1045"/>
      <c r="C1" s="1045"/>
      <c r="D1" s="1045"/>
      <c r="E1" s="726"/>
      <c r="F1" s="311"/>
      <c r="G1" s="311"/>
      <c r="H1" s="311"/>
      <c r="I1" s="311"/>
      <c r="K1" s="3"/>
      <c r="M1"/>
    </row>
    <row r="2" spans="1:13" ht="16.5" thickBot="1">
      <c r="A2" s="917" t="s">
        <v>545</v>
      </c>
      <c r="B2" s="918"/>
      <c r="C2" s="918"/>
      <c r="D2" s="918"/>
      <c r="E2" s="312"/>
      <c r="F2" s="312"/>
      <c r="G2" s="312"/>
      <c r="H2" s="312"/>
      <c r="I2" s="312"/>
      <c r="K2" s="3"/>
      <c r="M2"/>
    </row>
    <row r="3" spans="1:5" ht="33" customHeight="1" thickBot="1">
      <c r="A3" s="1134" t="s">
        <v>546</v>
      </c>
      <c r="B3" s="1135"/>
      <c r="C3" s="1135"/>
      <c r="D3" s="1136"/>
      <c r="E3" s="752"/>
    </row>
    <row r="4" spans="1:4" s="199" customFormat="1" ht="32.25" thickBot="1">
      <c r="A4" s="670" t="s">
        <v>467</v>
      </c>
      <c r="B4" s="671" t="s">
        <v>468</v>
      </c>
      <c r="C4" s="671" t="s">
        <v>469</v>
      </c>
      <c r="D4" s="672" t="s">
        <v>470</v>
      </c>
    </row>
    <row r="5" spans="1:4" ht="39" customHeight="1">
      <c r="A5" s="753" t="str">
        <f>SI_1!B85</f>
        <v>Non compilare</v>
      </c>
      <c r="B5" s="754">
        <f>SI_1!G85</f>
        <v>0</v>
      </c>
      <c r="C5" s="754">
        <f>'t1'!K9+'t1'!L9</f>
        <v>0</v>
      </c>
      <c r="D5" s="921" t="str">
        <f>IF(B5&lt;=C5,"OK","Dati incoerenti: controllare i valori")</f>
        <v>OK</v>
      </c>
    </row>
    <row r="6" spans="1:4" ht="39" customHeight="1">
      <c r="A6" s="755" t="str">
        <f>SI_1!B106</f>
        <v>Indicare il numero delle unita rilevate in tabella 1 tra i "presenti al 31.12" che risultavano titolari di permessi per legge n. 104/92.</v>
      </c>
      <c r="B6" s="756">
        <f>SI_1!G106</f>
        <v>0</v>
      </c>
      <c r="C6" s="756">
        <f>'t1'!K9+'t1'!L9</f>
        <v>0</v>
      </c>
      <c r="D6" s="922" t="str">
        <f>IF(B6&lt;=C6,"OK","Dati incoerenti: controllare i valori")</f>
        <v>OK</v>
      </c>
    </row>
    <row r="7" spans="1:4" ht="39" customHeight="1" thickBot="1">
      <c r="A7" s="757" t="str">
        <f>SI_1!B109</f>
        <v>Indicare il numero delle unita rilevate in tabella 1 tra i "presenti al 31.12" che risultavano titolari di permessi ai sensi dell'art. 42, c.5 D.lgs.151/2001.</v>
      </c>
      <c r="B7" s="758">
        <f>SI_1!G109</f>
        <v>0</v>
      </c>
      <c r="C7" s="758">
        <f>'t1'!K9+'t1'!L9</f>
        <v>0</v>
      </c>
      <c r="D7" s="923" t="str">
        <f>IF(B7&lt;=C7,"OK","Dati incoerenti: controllare i valori")</f>
        <v>OK</v>
      </c>
    </row>
    <row r="10" spans="1:13" ht="16.5" thickBot="1">
      <c r="A10" s="919" t="s">
        <v>547</v>
      </c>
      <c r="B10" s="918"/>
      <c r="C10" s="918"/>
      <c r="D10" s="918"/>
      <c r="E10" s="312"/>
      <c r="F10" s="312"/>
      <c r="G10" s="312"/>
      <c r="H10" s="312"/>
      <c r="I10" s="312"/>
      <c r="K10" s="3"/>
      <c r="M10"/>
    </row>
    <row r="11" spans="1:5" ht="32.25" customHeight="1" thickBot="1">
      <c r="A11" s="1134" t="s">
        <v>548</v>
      </c>
      <c r="B11" s="1135"/>
      <c r="C11" s="1135"/>
      <c r="D11" s="1136"/>
      <c r="E11" s="752"/>
    </row>
    <row r="12" spans="1:4" s="199" customFormat="1" ht="21.75" thickBot="1">
      <c r="A12" s="759" t="s">
        <v>467</v>
      </c>
      <c r="B12" s="760" t="s">
        <v>468</v>
      </c>
      <c r="C12" s="760" t="s">
        <v>471</v>
      </c>
      <c r="D12" s="761" t="s">
        <v>472</v>
      </c>
    </row>
    <row r="13" spans="1:4" ht="39" customHeight="1">
      <c r="A13" s="762" t="str">
        <f>SI_1!B106</f>
        <v>Indicare il numero delle unita rilevate in tabella 1 tra i "presenti al 31.12" che risultavano titolari di permessi per legge n. 104/92.</v>
      </c>
      <c r="B13" s="763">
        <f>SI_1!G106</f>
        <v>0</v>
      </c>
      <c r="C13" s="764">
        <f>'t11'!I11+'t11'!J11</f>
        <v>0</v>
      </c>
      <c r="D13" s="924" t="str">
        <f>(IF(AND(C13=0,B13&gt;0),"Mancano le assenze per questa causale",IF(AND(C13&gt;0,B13=0),"Dichiarare Unita nella domanda della Scheda Informativa 1","OK")))</f>
        <v>OK</v>
      </c>
    </row>
    <row r="14" spans="1:4" ht="39" customHeight="1" thickBot="1">
      <c r="A14" s="765" t="str">
        <f>SI_1!B109</f>
        <v>Indicare il numero delle unita rilevate in tabella 1 tra i "presenti al 31.12" che risultavano titolari di permessi ai sensi dell'art. 42, c.5 D.lgs.151/2001.</v>
      </c>
      <c r="B14" s="758">
        <f>SI_1!G109</f>
        <v>0</v>
      </c>
      <c r="C14" s="766">
        <f>'t11'!G11+'t11'!H11</f>
        <v>0</v>
      </c>
      <c r="D14" s="925" t="str">
        <f>(IF(AND(C14=0,B14&gt;0),"Mancano le assenze per questa causale",IF(AND(C14&gt;0,B14=0),"Dichiarare Unita nella domanda della Scheda Informativa 1","OK")))</f>
        <v>OK</v>
      </c>
    </row>
    <row r="17" spans="1:13" ht="12.75" customHeight="1" thickBot="1">
      <c r="A17" s="920" t="s">
        <v>549</v>
      </c>
      <c r="B17" s="918"/>
      <c r="C17" s="918"/>
      <c r="D17" s="918"/>
      <c r="E17" s="312"/>
      <c r="F17" s="312"/>
      <c r="G17" s="312"/>
      <c r="H17" s="312"/>
      <c r="I17" s="312"/>
      <c r="K17" s="3"/>
      <c r="M17"/>
    </row>
    <row r="18" spans="1:5" ht="30.75" customHeight="1" thickBot="1">
      <c r="A18" s="1134" t="s">
        <v>550</v>
      </c>
      <c r="B18" s="1135"/>
      <c r="C18" s="1135"/>
      <c r="D18" s="1136"/>
      <c r="E18" s="752"/>
    </row>
    <row r="19" spans="1:4" ht="21.75" thickBot="1">
      <c r="A19" s="759" t="s">
        <v>467</v>
      </c>
      <c r="B19" s="760" t="s">
        <v>536</v>
      </c>
      <c r="C19" s="760" t="s">
        <v>471</v>
      </c>
      <c r="D19" s="761" t="s">
        <v>472</v>
      </c>
    </row>
    <row r="20" spans="1:4" ht="37.5" customHeight="1" thickBot="1">
      <c r="A20" s="765" t="s">
        <v>456</v>
      </c>
      <c r="B20" s="763">
        <f>SI_1!G82</f>
        <v>0</v>
      </c>
      <c r="C20" s="764">
        <f>'t11'!E11+'t11'!F11</f>
        <v>0</v>
      </c>
      <c r="D20" s="924"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7.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2" customWidth="1"/>
    <col min="2" max="2" width="8" style="412" customWidth="1"/>
    <col min="3" max="3" width="14.16015625" style="412" customWidth="1"/>
    <col min="4" max="4" width="15.33203125" style="412" customWidth="1"/>
    <col min="5" max="5" width="25" style="412" bestFit="1" customWidth="1"/>
    <col min="6" max="6" width="17.33203125" style="412" customWidth="1"/>
    <col min="7" max="7" width="17.16015625" style="412" customWidth="1"/>
    <col min="8" max="14" width="9.33203125" style="412" customWidth="1"/>
  </cols>
  <sheetData>
    <row r="1" spans="1:13" s="5" customFormat="1" ht="26.25" customHeight="1">
      <c r="A1" s="1045" t="str">
        <f>'t1'!A1:J1</f>
        <v>ENTI ART. 60 - anno 2019</v>
      </c>
      <c r="B1" s="1045"/>
      <c r="C1" s="1045"/>
      <c r="D1" s="1045"/>
      <c r="E1" s="1045"/>
      <c r="F1" s="311"/>
      <c r="G1" s="308"/>
      <c r="H1" s="311"/>
      <c r="K1" s="3"/>
      <c r="M1" s="411"/>
    </row>
    <row r="2" spans="2:13" s="5" customFormat="1" ht="15" customHeight="1">
      <c r="B2" s="1117"/>
      <c r="C2" s="1117"/>
      <c r="D2" s="1117"/>
      <c r="E2" s="1117"/>
      <c r="F2" s="1117"/>
      <c r="G2" s="1117"/>
      <c r="J2" s="312"/>
      <c r="K2" s="3"/>
      <c r="M2" s="411"/>
    </row>
    <row r="3" spans="1:2" s="5" customFormat="1" ht="21" customHeight="1" thickBot="1">
      <c r="A3" s="315" t="s">
        <v>262</v>
      </c>
      <c r="B3" s="7"/>
    </row>
    <row r="4" spans="1:7" ht="20.25" customHeight="1" thickBot="1">
      <c r="A4" s="324" t="s">
        <v>263</v>
      </c>
      <c r="B4" s="1142">
        <f>'t12'!K9+'t13'!K9</f>
        <v>0</v>
      </c>
      <c r="C4" s="1143"/>
      <c r="D4" s="1143"/>
      <c r="E4" s="1143"/>
      <c r="F4" s="1143"/>
      <c r="G4" s="1144"/>
    </row>
    <row r="5" spans="1:14" ht="85.5" customHeight="1" thickBot="1">
      <c r="A5" s="221" t="s">
        <v>109</v>
      </c>
      <c r="B5" s="222" t="s">
        <v>248</v>
      </c>
      <c r="C5" s="222" t="s">
        <v>249</v>
      </c>
      <c r="D5" s="223" t="s">
        <v>250</v>
      </c>
      <c r="E5" s="1145" t="s">
        <v>247</v>
      </c>
      <c r="F5" s="1146"/>
      <c r="G5" s="1147"/>
      <c r="H5" s="411"/>
      <c r="I5" s="411"/>
      <c r="J5" s="411"/>
      <c r="K5" s="411"/>
      <c r="L5" s="411"/>
      <c r="M5" s="411"/>
      <c r="N5" s="411"/>
    </row>
    <row r="6" spans="1:14" ht="19.5" customHeight="1">
      <c r="A6" s="220" t="str">
        <f>'t14'!A4</f>
        <v>ASSEGNI PER IL NUCLEO FAMILIARE</v>
      </c>
      <c r="B6" s="320" t="str">
        <f>'t14'!B4</f>
        <v>L005</v>
      </c>
      <c r="C6" s="316">
        <f>'t14'!D4</f>
        <v>0</v>
      </c>
      <c r="D6" s="413" t="str">
        <f aca="true" t="shared" si="0" ref="D6:D12">IF($B$4=0," ",(IF(C6=0," ",C6/$B$4)))</f>
        <v> </v>
      </c>
      <c r="E6" s="1154" t="str">
        <f>IF($B$4=0,"TABELLE 12 -13 ASSENTI",(IF('t12'!$K$9=0,"TAB. 12 ASSENTE",(IF('t13'!K9=0,"TAB. 13 ASSENTE"," ")))))</f>
        <v>TABELLE 12 -13 ASSENTI</v>
      </c>
      <c r="F6" s="1155"/>
      <c r="G6" s="1156"/>
      <c r="H6" s="411"/>
      <c r="I6" s="411"/>
      <c r="J6" s="411"/>
      <c r="K6" s="411"/>
      <c r="L6" s="411"/>
      <c r="M6" s="411"/>
      <c r="N6" s="411"/>
    </row>
    <row r="7" spans="1:14" ht="19.5" customHeight="1">
      <c r="A7" s="220" t="str">
        <f>'t14'!A5</f>
        <v>GESTIONE MENSE </v>
      </c>
      <c r="B7" s="320" t="str">
        <f>'t14'!B5</f>
        <v>L010</v>
      </c>
      <c r="C7" s="317">
        <f>'t14'!D5</f>
        <v>0</v>
      </c>
      <c r="D7" s="414" t="str">
        <f t="shared" si="0"/>
        <v> </v>
      </c>
      <c r="E7" s="1148"/>
      <c r="F7" s="1149"/>
      <c r="G7" s="1150"/>
      <c r="H7" s="411"/>
      <c r="I7" s="411"/>
      <c r="J7" s="411"/>
      <c r="K7" s="411"/>
      <c r="L7" s="411"/>
      <c r="M7" s="411"/>
      <c r="N7" s="411"/>
    </row>
    <row r="8" spans="1:14" ht="19.5" customHeight="1">
      <c r="A8" s="220" t="str">
        <f>'t14'!A6</f>
        <v>EROGAZIONE BUONI PASTO</v>
      </c>
      <c r="B8" s="320" t="str">
        <f>'t14'!B6</f>
        <v>L011</v>
      </c>
      <c r="C8" s="317">
        <f>'t14'!D6</f>
        <v>0</v>
      </c>
      <c r="D8" s="414" t="str">
        <f t="shared" si="0"/>
        <v> </v>
      </c>
      <c r="E8" s="1148"/>
      <c r="F8" s="1149"/>
      <c r="G8" s="1150"/>
      <c r="H8" s="411"/>
      <c r="I8" s="411"/>
      <c r="J8" s="411"/>
      <c r="K8" s="411"/>
      <c r="L8" s="411"/>
      <c r="M8" s="411"/>
      <c r="N8" s="411"/>
    </row>
    <row r="9" spans="1:14" ht="19.5" customHeight="1">
      <c r="A9" s="220" t="str">
        <f>'t14'!A7</f>
        <v>FORMAZIONE DEL PERSONALE</v>
      </c>
      <c r="B9" s="320" t="str">
        <f>'t14'!B7</f>
        <v>L020</v>
      </c>
      <c r="C9" s="317">
        <f>'t14'!D7</f>
        <v>0</v>
      </c>
      <c r="D9" s="414" t="str">
        <f t="shared" si="0"/>
        <v> </v>
      </c>
      <c r="E9" s="1148"/>
      <c r="F9" s="1149"/>
      <c r="G9" s="1150"/>
      <c r="H9" s="411"/>
      <c r="I9" s="411"/>
      <c r="J9" s="411"/>
      <c r="K9" s="411"/>
      <c r="L9" s="411"/>
      <c r="M9" s="411"/>
      <c r="N9" s="411"/>
    </row>
    <row r="10" spans="1:14" ht="19.5" customHeight="1">
      <c r="A10" s="220" t="str">
        <f>'t14'!A8</f>
        <v>BENESSERE DEL PERSONALE</v>
      </c>
      <c r="B10" s="320" t="str">
        <f>'t14'!B8</f>
        <v>L090</v>
      </c>
      <c r="C10" s="317">
        <f>'t14'!D8</f>
        <v>0</v>
      </c>
      <c r="D10" s="414" t="str">
        <f t="shared" si="0"/>
        <v> </v>
      </c>
      <c r="E10" s="1148"/>
      <c r="F10" s="1149"/>
      <c r="G10" s="1150"/>
      <c r="H10" s="411"/>
      <c r="I10" s="411"/>
      <c r="J10" s="411"/>
      <c r="K10" s="411"/>
      <c r="L10" s="411"/>
      <c r="M10" s="411"/>
      <c r="N10" s="411"/>
    </row>
    <row r="11" spans="1:14" ht="19.5" customHeight="1" thickBot="1">
      <c r="A11" s="220" t="str">
        <f>'t14'!A9</f>
        <v>EQUO INDENNIZZO AL PERSONALE</v>
      </c>
      <c r="B11" s="320" t="str">
        <f>'t14'!B9</f>
        <v>L100</v>
      </c>
      <c r="C11" s="317">
        <f>'t14'!D9</f>
        <v>0</v>
      </c>
      <c r="D11" s="415" t="str">
        <f t="shared" si="0"/>
        <v> </v>
      </c>
      <c r="E11" s="1151"/>
      <c r="F11" s="1152"/>
      <c r="G11" s="1153"/>
      <c r="H11" s="411"/>
      <c r="I11" s="411"/>
      <c r="J11" s="411"/>
      <c r="K11" s="411"/>
      <c r="L11" s="411"/>
      <c r="M11" s="411"/>
      <c r="N11" s="411"/>
    </row>
    <row r="12" spans="1:14" ht="30.75" customHeight="1" thickBot="1">
      <c r="A12" s="220" t="str">
        <f>'t14'!A10</f>
        <v>SOMME CORRISPOSTE AD AGENZIA DI SOMMINISTRAZIONE(INTERINALI)</v>
      </c>
      <c r="B12" s="320" t="str">
        <f>'t14'!B10</f>
        <v>L105</v>
      </c>
      <c r="C12" s="317">
        <f>'t14'!D10</f>
        <v>0</v>
      </c>
      <c r="D12" s="415" t="str">
        <f t="shared" si="0"/>
        <v> </v>
      </c>
      <c r="E12" s="1140" t="str">
        <f>(IF(AND(C12=0,C24&gt;0),"P062 VALORIZZATA; INSERIRE SOMME SPETTANTI ALL'AGENZIA (L105)",IF(AND(C12&gt;0,C24&gt;0,C12&gt;(C24/100*30)),"ATTENZIONE: la voce L105 supera il 30% della voce P062. Il salvataggio produrrà l'INCONGRUENZA 1 che dovrà essere giustificata"," ")))</f>
        <v> </v>
      </c>
      <c r="F12" s="1157"/>
      <c r="G12" s="1158"/>
      <c r="H12" s="411"/>
      <c r="I12" s="411"/>
      <c r="J12" s="411"/>
      <c r="K12" s="411"/>
      <c r="L12" s="411"/>
      <c r="M12" s="411"/>
      <c r="N12" s="411"/>
    </row>
    <row r="13" spans="1:14" ht="19.5" customHeight="1" thickBot="1">
      <c r="A13" s="220" t="str">
        <f>'t14'!A11</f>
        <v>COPERTURE ASSICURATIVE</v>
      </c>
      <c r="B13" s="320" t="str">
        <f>'t14'!B11</f>
        <v>L107</v>
      </c>
      <c r="C13" s="317">
        <f>'t14'!D11</f>
        <v>0</v>
      </c>
      <c r="D13" s="413" t="str">
        <f aca="true" t="shared" si="1" ref="D13:D21">IF($B$4=0," ",(IF(C13=0," ",C13/$B$4)))</f>
        <v> </v>
      </c>
      <c r="E13" s="1137" t="str">
        <f>IF($B$4=0,"TABELLE 12 -13 ASSENTI",(IF('t12'!$K$9=0,"TAB. 12 ASSENTE",(IF('t13'!$K$9=0,"TAB. 13 ASSENTE"," ")))))</f>
        <v>TABELLE 12 -13 ASSENTI</v>
      </c>
      <c r="F13" s="1141" t="s">
        <v>299</v>
      </c>
      <c r="G13" s="1159" t="s">
        <v>299</v>
      </c>
      <c r="H13" s="411"/>
      <c r="I13" s="411"/>
      <c r="J13" s="411"/>
      <c r="K13" s="411"/>
      <c r="L13" s="411"/>
      <c r="M13" s="411"/>
      <c r="N13" s="411"/>
    </row>
    <row r="14" spans="1:14" ht="41.25" customHeight="1" thickBot="1">
      <c r="A14" s="220" t="str">
        <f>'t14'!A12</f>
        <v>CONTRATTI DI COLLABORAZIONE COORDINATA E CONTINUATIVA</v>
      </c>
      <c r="B14" s="320" t="str">
        <f>'t14'!B12</f>
        <v>L108</v>
      </c>
      <c r="C14" s="317">
        <f>'t14'!D12</f>
        <v>0</v>
      </c>
      <c r="D14" s="414" t="str">
        <f t="shared" si="1"/>
        <v> </v>
      </c>
      <c r="E14" s="1140" t="str">
        <f>IF(SI_1!G56=0,IF('t14'!D12=0," ","MANCA IL NUMERO DEI CONTRATTI NELLA SI_1"),IF('t14'!D12=0,"VERIFICARE SE INSERIRE LE SPESE"," "))</f>
        <v> </v>
      </c>
      <c r="F14" s="1141"/>
      <c r="G14" s="341" t="str">
        <f>IF(AND(C14&gt;0,SI_1!G56&gt;0),"VALORE MEDIO UNITARIO DI SPESA =  "&amp;C14/SI_1!G56," ")</f>
        <v> </v>
      </c>
      <c r="H14" s="411"/>
      <c r="I14" s="411"/>
      <c r="J14" s="411"/>
      <c r="K14" s="411"/>
      <c r="L14" s="411"/>
      <c r="M14" s="411"/>
      <c r="N14" s="411"/>
    </row>
    <row r="15" spans="1:14" ht="41.25" customHeight="1" thickBot="1">
      <c r="A15" s="220" t="str">
        <f>'t14'!A13</f>
        <v>INCARICHI LIBERO PROFESSIONALI/STUDIO/RICERCA/CONSULENZA</v>
      </c>
      <c r="B15" s="320" t="str">
        <f>'t14'!B13</f>
        <v>L109</v>
      </c>
      <c r="C15" s="317">
        <f>'t14'!D13</f>
        <v>0</v>
      </c>
      <c r="D15" s="414" t="str">
        <f t="shared" si="1"/>
        <v> </v>
      </c>
      <c r="E15" s="1140" t="str">
        <f>IF(SI_1!G59=0,IF('t14'!D13=0," ","MANCA IL NUMERO DEI CONTRATTI NELLA SI_1"),IF('t14'!D13=0,"VERIFICARE SE INSERIRE LE SPESE"," "))</f>
        <v> </v>
      </c>
      <c r="F15" s="1141"/>
      <c r="G15" s="341" t="str">
        <f>IF(AND(C15&gt;0,SI_1!G59&gt;0),"VALORE MEDIO UNITARIO DI SPESA =  "&amp;C15/SI_1!G59," ")</f>
        <v> </v>
      </c>
      <c r="H15" s="411"/>
      <c r="I15" s="411"/>
      <c r="J15" s="411"/>
      <c r="K15" s="411"/>
      <c r="L15" s="411"/>
      <c r="M15" s="411"/>
      <c r="N15" s="411"/>
    </row>
    <row r="16" spans="1:14" ht="41.25" customHeight="1" thickBot="1">
      <c r="A16" s="220" t="str">
        <f>'t14'!A14</f>
        <v>CONTRATTI PER RESA SERVIZI/ADEMPIMENTI OBBLIGATORI PER LEGGE</v>
      </c>
      <c r="B16" s="320" t="str">
        <f>'t14'!B14</f>
        <v>L115</v>
      </c>
      <c r="C16" s="317">
        <f>'t14'!D14</f>
        <v>0</v>
      </c>
      <c r="D16" s="414" t="str">
        <f>IF($B$4=0," ",(IF(C16=0," ",C16/$B$4)))</f>
        <v> </v>
      </c>
      <c r="E16" s="1140" t="str">
        <f>IF(SI_1!G62=0,IF('t14'!D14=0," ","MANCA IL NUMERO DEI CONTRATTI NELLA SI_1"),IF('t14'!D14=0,"VERIFICARE SE INSERIRE LE SPESE"," "))</f>
        <v> </v>
      </c>
      <c r="F16" s="1141"/>
      <c r="G16" s="341" t="str">
        <f>IF(AND(C16&gt;0,SI_1!G62&gt;0),"VALORE MEDIO UNITARIO DI SPESA =  "&amp;C16/SI_1!G62," ")</f>
        <v> </v>
      </c>
      <c r="H16" s="411"/>
      <c r="I16" s="411"/>
      <c r="J16" s="411"/>
      <c r="K16" s="411"/>
      <c r="L16" s="411"/>
      <c r="M16" s="411"/>
      <c r="N16" s="411"/>
    </row>
    <row r="17" spans="1:14" ht="19.5" customHeight="1">
      <c r="A17" s="220" t="str">
        <f>'t14'!A15</f>
        <v>ALTRE SPESE</v>
      </c>
      <c r="B17" s="320" t="str">
        <f>'t14'!B15</f>
        <v>L110</v>
      </c>
      <c r="C17" s="317">
        <f>'t14'!D15</f>
        <v>0</v>
      </c>
      <c r="D17" s="414" t="str">
        <f t="shared" si="1"/>
        <v> </v>
      </c>
      <c r="E17" s="1154" t="str">
        <f>IF($B$4=0,"TABELLE 12 -13 ASSENTI",(IF('t12'!K9=0,"TAB. 12 ASSENTE",(IF('t13'!K9=0,"TAB. 13 ASSENTE"," ")))))</f>
        <v>TABELLE 12 -13 ASSENTI</v>
      </c>
      <c r="F17" s="1160" t="s">
        <v>299</v>
      </c>
      <c r="G17" s="1161" t="s">
        <v>299</v>
      </c>
      <c r="H17" s="411"/>
      <c r="I17" s="411"/>
      <c r="J17" s="411"/>
      <c r="K17" s="411"/>
      <c r="L17" s="411"/>
      <c r="M17" s="411"/>
      <c r="N17" s="411"/>
    </row>
    <row r="18" spans="1:14" ht="19.5" customHeight="1">
      <c r="A18" s="220" t="str">
        <f>'t14'!A16</f>
        <v>RETRIBUZIONI PERSONALE  A TEMPO DETERMINATO</v>
      </c>
      <c r="B18" s="320" t="str">
        <f>'t14'!B16</f>
        <v>P015</v>
      </c>
      <c r="C18" s="317">
        <f>'t14'!D16</f>
        <v>0</v>
      </c>
      <c r="D18" s="414" t="str">
        <f t="shared" si="1"/>
        <v> </v>
      </c>
      <c r="E18" s="1162" t="s">
        <v>299</v>
      </c>
      <c r="F18" s="1163" t="s">
        <v>299</v>
      </c>
      <c r="G18" s="1164" t="s">
        <v>299</v>
      </c>
      <c r="H18" s="411"/>
      <c r="I18" s="411"/>
      <c r="J18" s="411"/>
      <c r="K18" s="411"/>
      <c r="L18" s="411"/>
      <c r="M18" s="411"/>
      <c r="N18" s="411"/>
    </row>
    <row r="19" spans="1:14" ht="19.5" customHeight="1">
      <c r="A19" s="220" t="str">
        <f>'t14'!A17</f>
        <v>RETRIBUZIONI PERSONALE CON CONTRATTO DI FORMAZIONE E LAVORO</v>
      </c>
      <c r="B19" s="320" t="str">
        <f>'t14'!B17</f>
        <v>P016</v>
      </c>
      <c r="C19" s="317">
        <f>'t14'!D17</f>
        <v>0</v>
      </c>
      <c r="D19" s="414" t="str">
        <f t="shared" si="1"/>
        <v> </v>
      </c>
      <c r="E19" s="1162" t="s">
        <v>299</v>
      </c>
      <c r="F19" s="1163" t="s">
        <v>299</v>
      </c>
      <c r="G19" s="1164" t="s">
        <v>299</v>
      </c>
      <c r="H19" s="411"/>
      <c r="I19" s="411"/>
      <c r="J19" s="411"/>
      <c r="K19" s="411"/>
      <c r="L19" s="411"/>
      <c r="M19" s="411"/>
      <c r="N19" s="411"/>
    </row>
    <row r="20" spans="1:14" ht="19.5" customHeight="1" thickBot="1">
      <c r="A20" s="220" t="str">
        <f>'t14'!A18</f>
        <v>INDENNITA' DI MISSIONE E TRASFERIMENTO</v>
      </c>
      <c r="B20" s="320" t="str">
        <f>'t14'!B18</f>
        <v>P030</v>
      </c>
      <c r="C20" s="317">
        <f>'t14'!D18</f>
        <v>0</v>
      </c>
      <c r="D20" s="414" t="str">
        <f t="shared" si="1"/>
        <v> </v>
      </c>
      <c r="E20" s="1165" t="s">
        <v>299</v>
      </c>
      <c r="F20" s="1166" t="s">
        <v>299</v>
      </c>
      <c r="G20" s="1167" t="s">
        <v>299</v>
      </c>
      <c r="H20" s="411"/>
      <c r="I20" s="411"/>
      <c r="J20" s="411"/>
      <c r="K20" s="411"/>
      <c r="L20" s="411"/>
      <c r="M20" s="411"/>
      <c r="N20" s="411"/>
    </row>
    <row r="21" spans="1:14" ht="30.75" customHeight="1" thickBot="1">
      <c r="A21" s="220" t="str">
        <f>'t14'!A20</f>
        <v>CONTRIBUTI A CARICO DELL'AMM.NE SU COMP. FISSE E ACCESSORIE</v>
      </c>
      <c r="B21" s="320" t="str">
        <f>'t14'!B20</f>
        <v>P055</v>
      </c>
      <c r="C21" s="317">
        <f>'t14'!D20</f>
        <v>0</v>
      </c>
      <c r="D21" s="414" t="str">
        <f t="shared" si="1"/>
        <v> </v>
      </c>
      <c r="E21" s="485" t="str">
        <f>IF(AND(C31=0,B4=0)," ",IF(C31=0,"TABELLA 14 ASSENTE",IF(AND(B4=0,C18=0,C19=0,C25=0),"INSERIRE RETRIBUZIONI",IF(C21=0,"INSERIRE CONTRIBUTI",ROUND((C21/(B4+C18+C19+C25)*100),2)))))</f>
        <v> </v>
      </c>
      <c r="F21" s="1157" t="str">
        <f>IF(AND(B4=0,C31=0)," ",IF(C31=0,"VALORE INCONGRUENTE",IF(C21=0," ",IF(OR(E21&lt;21.675,E21&gt;29.325),"VALORE INCONGRUENTE (Inc. 4)","OK"))))</f>
        <v> </v>
      </c>
      <c r="G21" s="1158"/>
      <c r="H21" s="411"/>
      <c r="I21" s="411"/>
      <c r="J21" s="411"/>
      <c r="K21" s="411"/>
      <c r="L21" s="411"/>
      <c r="M21" s="411"/>
      <c r="N21" s="411"/>
    </row>
    <row r="22" spans="1:14" ht="30.75" customHeight="1" thickBot="1">
      <c r="A22" s="220" t="str">
        <f>'t14'!A21</f>
        <v>QUOTE ANNUE ACCANTONAMENTO TFR O ALTRA IND. FINE SERVIZIO</v>
      </c>
      <c r="B22" s="320" t="str">
        <f>'t14'!B21</f>
        <v>P058</v>
      </c>
      <c r="C22" s="317">
        <f>'t14'!D21</f>
        <v>0</v>
      </c>
      <c r="D22" s="414" t="str">
        <f>IF($B$4=0," ",(IF(C22=0," ",C22/$B$4)))</f>
        <v> </v>
      </c>
      <c r="E22" s="1148" t="str">
        <f>IF($B$4=0,"TABELLE 12 -13 ASSENTI",(IF('t12'!$K$9=0,"TAB. 12 ASSENTE",(IF('t13'!$K$9=0,"TAB. 13 ASSENTE"," ")))))</f>
        <v>TABELLE 12 -13 ASSENTI</v>
      </c>
      <c r="F22" s="1149" t="s">
        <v>299</v>
      </c>
      <c r="G22" s="1150" t="s">
        <v>299</v>
      </c>
      <c r="H22" s="411"/>
      <c r="I22" s="411"/>
      <c r="J22" s="411"/>
      <c r="K22" s="411"/>
      <c r="L22" s="411"/>
      <c r="M22" s="411"/>
      <c r="N22" s="411"/>
    </row>
    <row r="23" spans="1:14" ht="24" customHeight="1" thickBot="1">
      <c r="A23" s="220" t="str">
        <f>'t14'!A22</f>
        <v>IRAP</v>
      </c>
      <c r="B23" s="320" t="str">
        <f>'t14'!B22</f>
        <v>P061</v>
      </c>
      <c r="C23" s="317">
        <f>'t14'!D22</f>
        <v>0</v>
      </c>
      <c r="D23" s="414" t="str">
        <f>IF($B$4=0," ",IF(C23=0," ",C23/$B$4))</f>
        <v> </v>
      </c>
      <c r="E23" s="485" t="str">
        <f>IF(AND(B4=0,C31=0)," ",IF(C31=0,"TABELLA 14 ASSENTE",IF(AND(B4=0,C18=0,C19=0,C25=0),"INSERIRE RETRIBUZIONI",IF(C23=0,"INSERIRE SOMME IRAP",ROUND((C23/(B4+C18+C19+C25)*100),2)))))</f>
        <v> </v>
      </c>
      <c r="F23" s="1157" t="str">
        <f>IF('t14'!G22=1,IF(E23&gt;8.5,"VALORE INCONGRUENTE (Inc.4)","E' stata dichiarata IRAP Commerciale"),IF(AND(B4=0,C31=0)," ",IF(C31=0,"VALORE INCONGRUENTE",IF(C23=0," ",IF(OR(E23&lt;7.65,E23&gt;9.35),"VALORE INCONGRUENTE (Inc.4)","OK")))))</f>
        <v> </v>
      </c>
      <c r="G23" s="1158"/>
      <c r="H23" s="411"/>
      <c r="I23" s="411"/>
      <c r="J23" s="411"/>
      <c r="K23" s="411"/>
      <c r="L23" s="411"/>
      <c r="M23" s="411"/>
      <c r="N23" s="411"/>
    </row>
    <row r="24" spans="1:14" ht="19.5" customHeight="1" thickBot="1">
      <c r="A24" s="220" t="str">
        <f>'t14'!A23</f>
        <v>ONERI PER I CONTRATTI DI SOMMINISTRAZIONE(INTERINALI)</v>
      </c>
      <c r="B24" s="320" t="str">
        <f>'t14'!B23</f>
        <v>P062</v>
      </c>
      <c r="C24" s="318">
        <f>'t14'!D23</f>
        <v>0</v>
      </c>
      <c r="D24" s="416" t="str">
        <f>IF($B$4=0," ",(IF(AND(C24=0,C12&gt;0),"MANCANO GLI ONERI PER I LAVORATORI",IF(C24=0," ",C24/$B$4))))</f>
        <v> </v>
      </c>
      <c r="E24" s="1137" t="str">
        <f>(IF(AND(C24=0,C12&gt;0),"L105 VALORIZZATA; INSERIRE RETRIBUZIONI PER INTERINALI (P062)"," "))</f>
        <v> </v>
      </c>
      <c r="F24" s="1138"/>
      <c r="G24" s="1139"/>
      <c r="H24" s="411"/>
      <c r="I24" s="411"/>
      <c r="J24" s="411"/>
      <c r="K24" s="411"/>
      <c r="L24" s="411"/>
      <c r="M24" s="411"/>
      <c r="N24" s="411"/>
    </row>
    <row r="25" spans="1:14" ht="19.5" customHeight="1">
      <c r="A25" s="220" t="str">
        <f>'t14'!A24</f>
        <v>COMPENSI PER PERSONALE LSU/LPU</v>
      </c>
      <c r="B25" s="320" t="str">
        <f>'t14'!B24</f>
        <v>P065</v>
      </c>
      <c r="C25" s="317">
        <f>'t14'!D24</f>
        <v>0</v>
      </c>
      <c r="D25" s="418" t="str">
        <f aca="true" t="shared" si="2" ref="D25:D30">IF($B$4=0," ",(IF(C25=0," ",C25/$B$4)))</f>
        <v> </v>
      </c>
      <c r="E25" s="1148" t="str">
        <f>IF($B$4=0,"TABELLE 12 -13 ASSENTI",(IF('t12'!$K$9=0,"TAB. 12 ASSENTE",(IF('t13'!$K$9=0,"TAB. 13 ASSENTE"," ")))))</f>
        <v>TABELLE 12 -13 ASSENTI</v>
      </c>
      <c r="F25" s="1149"/>
      <c r="G25" s="1150"/>
      <c r="H25" s="411"/>
      <c r="I25" s="411"/>
      <c r="J25" s="411"/>
      <c r="K25" s="411"/>
      <c r="L25" s="411"/>
      <c r="M25" s="411"/>
      <c r="N25" s="411"/>
    </row>
    <row r="26" spans="1:14" ht="19.5" customHeight="1">
      <c r="A26" s="220" t="str">
        <f>'t14'!A25</f>
        <v>SOMME RIMBORSATE PER PERSONALE COMAND./FUORI RUOLO/IN CONV.</v>
      </c>
      <c r="B26" s="320" t="str">
        <f>'t14'!B25</f>
        <v>P071</v>
      </c>
      <c r="C26" s="317">
        <f>'t14'!D25</f>
        <v>0</v>
      </c>
      <c r="D26" s="417" t="str">
        <f t="shared" si="2"/>
        <v> </v>
      </c>
      <c r="E26" s="1148"/>
      <c r="F26" s="1149"/>
      <c r="G26" s="1150"/>
      <c r="H26" s="411"/>
      <c r="I26" s="411"/>
      <c r="J26" s="411"/>
      <c r="K26" s="411"/>
      <c r="L26" s="411"/>
      <c r="M26" s="411"/>
      <c r="N26" s="411"/>
    </row>
    <row r="27" spans="1:14" ht="19.5" customHeight="1">
      <c r="A27" s="220" t="str">
        <f>'t14'!A26</f>
        <v>ALTRE SOMME RIMBORSATE ALLE AMMINISTRAZIONI</v>
      </c>
      <c r="B27" s="320" t="str">
        <f>'t14'!B26</f>
        <v>P074</v>
      </c>
      <c r="C27" s="317">
        <f>'t14'!D26</f>
        <v>0</v>
      </c>
      <c r="D27" s="417" t="str">
        <f t="shared" si="2"/>
        <v> </v>
      </c>
      <c r="E27" s="1148"/>
      <c r="F27" s="1149"/>
      <c r="G27" s="1150"/>
      <c r="H27" s="411"/>
      <c r="I27" s="411"/>
      <c r="J27" s="411"/>
      <c r="K27" s="411"/>
      <c r="L27" s="411"/>
      <c r="M27" s="411"/>
      <c r="N27" s="411"/>
    </row>
    <row r="28" spans="1:14" ht="19.5" customHeight="1">
      <c r="A28" s="220" t="str">
        <f>'t14'!A27</f>
        <v>SOMME RICEVUTE DA U.E. E/O PRIVATI (-)</v>
      </c>
      <c r="B28" s="320" t="str">
        <f>'t14'!B27</f>
        <v>P098</v>
      </c>
      <c r="C28" s="317">
        <f>'t14'!D27</f>
        <v>0</v>
      </c>
      <c r="D28" s="417" t="str">
        <f t="shared" si="2"/>
        <v> </v>
      </c>
      <c r="E28" s="1148"/>
      <c r="F28" s="1149"/>
      <c r="G28" s="1150"/>
      <c r="H28" s="411"/>
      <c r="I28" s="411"/>
      <c r="J28" s="411"/>
      <c r="K28" s="411"/>
      <c r="L28" s="411"/>
      <c r="M28" s="411"/>
      <c r="N28" s="411"/>
    </row>
    <row r="29" spans="1:14" ht="19.5" customHeight="1">
      <c r="A29" s="220" t="str">
        <f>'t14'!A28</f>
        <v>RIMBORSI RICEVUTI PER PERS. COMAND./FUORI RUOLO/IN CONV. (-)</v>
      </c>
      <c r="B29" s="320" t="str">
        <f>'t14'!B28</f>
        <v>P090</v>
      </c>
      <c r="C29" s="317">
        <f>'t14'!D28</f>
        <v>0</v>
      </c>
      <c r="D29" s="417" t="str">
        <f t="shared" si="2"/>
        <v> </v>
      </c>
      <c r="E29" s="1148"/>
      <c r="F29" s="1149"/>
      <c r="G29" s="1150"/>
      <c r="H29" s="411"/>
      <c r="I29" s="411"/>
      <c r="J29" s="411"/>
      <c r="K29" s="411"/>
      <c r="L29" s="411"/>
      <c r="M29" s="411"/>
      <c r="N29" s="411"/>
    </row>
    <row r="30" spans="1:14" ht="19.5" customHeight="1" thickBot="1">
      <c r="A30" s="220" t="str">
        <f>'t14'!A29</f>
        <v>ALTRI RIMBORSI RICEVUTI DALLE AMMINISTRAZIONI (-)</v>
      </c>
      <c r="B30" s="320" t="str">
        <f>'t14'!B29</f>
        <v>P099</v>
      </c>
      <c r="C30" s="317">
        <f>'t14'!D29</f>
        <v>0</v>
      </c>
      <c r="D30" s="417" t="str">
        <f t="shared" si="2"/>
        <v> </v>
      </c>
      <c r="E30" s="1151"/>
      <c r="F30" s="1152"/>
      <c r="G30" s="1153"/>
      <c r="H30" s="411"/>
      <c r="I30" s="411"/>
      <c r="J30" s="411"/>
      <c r="K30" s="411"/>
      <c r="L30" s="411"/>
      <c r="M30" s="411"/>
      <c r="N30" s="411"/>
    </row>
    <row r="31" spans="1:14" s="410" customFormat="1" ht="18" customHeight="1">
      <c r="A31" s="408" t="s">
        <v>76</v>
      </c>
      <c r="B31" s="408"/>
      <c r="C31" s="409">
        <f>SUM(C6:C30)</f>
        <v>0</v>
      </c>
      <c r="D31" s="408"/>
      <c r="E31" s="408"/>
      <c r="F31" s="408"/>
      <c r="G31" s="408"/>
      <c r="I31" s="412"/>
      <c r="J31" s="412"/>
      <c r="K31" s="412"/>
      <c r="L31" s="412"/>
      <c r="M31" s="412"/>
      <c r="N31" s="412"/>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8.xml><?xml version="1.0" encoding="utf-8"?>
<worksheet xmlns="http://schemas.openxmlformats.org/spreadsheetml/2006/main" xmlns:r="http://schemas.openxmlformats.org/officeDocument/2006/relationships">
  <sheetPr codeName="Foglio30"/>
  <dimension ref="A1:K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21.33203125" style="405" customWidth="1"/>
    <col min="4" max="5" width="21.33203125" style="7" customWidth="1"/>
    <col min="6" max="6" width="21.33203125" style="356" customWidth="1"/>
    <col min="7" max="7" width="21.33203125" style="7" customWidth="1"/>
    <col min="8" max="8" width="9.33203125" style="110" customWidth="1"/>
  </cols>
  <sheetData>
    <row r="1" spans="1:11" s="5" customFormat="1" ht="43.5" customHeight="1">
      <c r="A1" s="1045" t="str">
        <f>'t1'!A1</f>
        <v>ENTI ART. 60 - anno 2019</v>
      </c>
      <c r="B1" s="1045"/>
      <c r="C1" s="1045"/>
      <c r="D1" s="1045"/>
      <c r="E1" s="1045"/>
      <c r="F1" s="1045"/>
      <c r="G1" s="1045"/>
      <c r="I1" s="3"/>
      <c r="K1"/>
    </row>
    <row r="2" spans="3:11" s="5" customFormat="1" ht="12.75" customHeight="1">
      <c r="C2" s="402"/>
      <c r="D2" s="1117"/>
      <c r="E2" s="1117"/>
      <c r="F2" s="1117"/>
      <c r="G2" s="1117"/>
      <c r="H2" s="312"/>
      <c r="I2" s="3"/>
      <c r="K2"/>
    </row>
    <row r="3" spans="1:7" s="5" customFormat="1" ht="21" customHeight="1">
      <c r="A3" s="198" t="s">
        <v>302</v>
      </c>
      <c r="B3" s="7"/>
      <c r="C3" s="402"/>
      <c r="F3" s="357"/>
      <c r="G3" s="7"/>
    </row>
    <row r="4" spans="1:7" ht="53.25" customHeight="1">
      <c r="A4" s="184" t="s">
        <v>236</v>
      </c>
      <c r="B4" s="186" t="s">
        <v>198</v>
      </c>
      <c r="C4" s="403" t="str">
        <f>"Presenti 31.12."&amp;'t1'!L1&amp;" (Tab T1) uomini+donne della tabella T1"</f>
        <v>Presenti 31.12.2019 (Tab T1) uomini+donne della tabella T1</v>
      </c>
      <c r="D4" s="185" t="s">
        <v>297</v>
      </c>
      <c r="E4" s="185" t="s">
        <v>300</v>
      </c>
      <c r="F4" s="406" t="s">
        <v>301</v>
      </c>
      <c r="G4" s="185" t="s">
        <v>303</v>
      </c>
    </row>
    <row r="5" spans="1:8" s="202" customFormat="1" ht="10.5">
      <c r="A5" s="183"/>
      <c r="B5" s="196"/>
      <c r="C5" s="404" t="s">
        <v>200</v>
      </c>
      <c r="D5" s="200" t="s">
        <v>201</v>
      </c>
      <c r="E5" s="200" t="s">
        <v>202</v>
      </c>
      <c r="F5" s="407" t="s">
        <v>203</v>
      </c>
      <c r="G5" s="200"/>
      <c r="H5" s="110"/>
    </row>
    <row r="6" spans="1:7" ht="12.75">
      <c r="A6" s="139" t="str">
        <f>'t1'!A6</f>
        <v>PERSONALE DIRIGENTE</v>
      </c>
      <c r="B6" s="314" t="str">
        <f>'t1'!B6</f>
        <v>0D00NF</v>
      </c>
      <c r="C6" s="716">
        <f>('t1'!K6+'t1'!L6)</f>
        <v>0</v>
      </c>
      <c r="D6" s="338">
        <f>'t5'!S7+'t5'!T7</f>
        <v>0</v>
      </c>
      <c r="E6" s="338">
        <f>'t4'!F6</f>
        <v>0</v>
      </c>
      <c r="F6" s="339">
        <f>'t12'!C6</f>
        <v>0</v>
      </c>
      <c r="G6" s="358" t="str">
        <f>IF(OR(AND(NOT(C6),NOT(D6),NOT(E6),NOT(F6)),AND((OR(C6,D6,E6)),F6)),"OK","ERRORE")</f>
        <v>OK</v>
      </c>
    </row>
    <row r="7" spans="1:7" ht="12.75">
      <c r="A7" s="139" t="str">
        <f>'t1'!A7</f>
        <v>PERSONALE NON DIRIGENTE</v>
      </c>
      <c r="B7" s="314" t="str">
        <f>'t1'!B7</f>
        <v>0000ND</v>
      </c>
      <c r="C7" s="716">
        <f>('t1'!K7+'t1'!L7)</f>
        <v>0</v>
      </c>
      <c r="D7" s="338">
        <f>'t5'!S8+'t5'!T8</f>
        <v>0</v>
      </c>
      <c r="E7" s="338">
        <f>'t4'!F7</f>
        <v>0</v>
      </c>
      <c r="F7" s="339">
        <f>'t12'!C7</f>
        <v>0</v>
      </c>
      <c r="G7" s="358" t="str">
        <f>IF(OR(AND(NOT(C7),NOT(D7),NOT(E7),NOT(F7)),AND((OR(C7,D7,E7)),F7)),"OK","ERRORE")</f>
        <v>OK</v>
      </c>
    </row>
    <row r="8" spans="1:7" ht="12.75">
      <c r="A8" s="139" t="str">
        <f>'t1'!A8</f>
        <v>CONTRATTISTI (a)</v>
      </c>
      <c r="B8" s="314" t="str">
        <f>'t1'!B8</f>
        <v>000061</v>
      </c>
      <c r="C8" s="716">
        <f>('t1'!K8+'t1'!L8)</f>
        <v>0</v>
      </c>
      <c r="D8" s="338">
        <f>'t5'!S9+'t5'!T9</f>
        <v>0</v>
      </c>
      <c r="E8" s="338">
        <f>'t4'!F8</f>
        <v>0</v>
      </c>
      <c r="F8" s="339">
        <f>'t12'!C8</f>
        <v>0</v>
      </c>
      <c r="G8" s="358" t="str">
        <f>IF(OR(AND(NOT(C8),NOT(D8),NOT(E8),NOT(F8)),AND((OR(C8,D8,E8)),F8)),"OK","ERRORE")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31"/>
  <dimension ref="A1:I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7.83203125" style="7" customWidth="1"/>
    <col min="4" max="4" width="26.66015625" style="356" customWidth="1"/>
    <col min="5" max="5" width="15.83203125" style="7" customWidth="1"/>
    <col min="6" max="6" width="9.33203125" style="110" customWidth="1"/>
  </cols>
  <sheetData>
    <row r="1" spans="1:9" s="5" customFormat="1" ht="43.5" customHeight="1">
      <c r="A1" s="1045" t="str">
        <f>'t1'!A1</f>
        <v>ENTI ART. 60 - anno 2019</v>
      </c>
      <c r="B1" s="1045"/>
      <c r="C1" s="1045"/>
      <c r="D1" s="1045"/>
      <c r="E1" s="1045"/>
      <c r="G1" s="3"/>
      <c r="I1"/>
    </row>
    <row r="2" spans="3:9" s="5" customFormat="1" ht="12.75" customHeight="1">
      <c r="C2" s="1117"/>
      <c r="D2" s="1117"/>
      <c r="E2" s="1117"/>
      <c r="F2" s="312"/>
      <c r="G2" s="3"/>
      <c r="I2"/>
    </row>
    <row r="3" spans="1:5" s="5" customFormat="1" ht="21" customHeight="1">
      <c r="A3" s="198" t="s">
        <v>353</v>
      </c>
      <c r="B3" s="7"/>
      <c r="D3" s="357"/>
      <c r="E3" s="7"/>
    </row>
    <row r="4" spans="1:5" ht="81.75" customHeight="1">
      <c r="A4" s="184" t="s">
        <v>236</v>
      </c>
      <c r="B4" s="186" t="s">
        <v>198</v>
      </c>
      <c r="C4" s="185" t="s">
        <v>298</v>
      </c>
      <c r="D4" s="406" t="s">
        <v>331</v>
      </c>
      <c r="E4" s="185" t="s">
        <v>309</v>
      </c>
    </row>
    <row r="5" spans="1:6" s="202" customFormat="1" ht="10.5">
      <c r="A5" s="183"/>
      <c r="B5" s="196"/>
      <c r="C5" s="200" t="s">
        <v>200</v>
      </c>
      <c r="D5" s="407" t="s">
        <v>201</v>
      </c>
      <c r="E5" s="200"/>
      <c r="F5" s="201"/>
    </row>
    <row r="6" spans="1:5" ht="12.75">
      <c r="A6" s="139" t="str">
        <f>'t1'!A6</f>
        <v>PERSONALE DIRIGENTE</v>
      </c>
      <c r="B6" s="314" t="str">
        <f>'t1'!B6</f>
        <v>0D00NF</v>
      </c>
      <c r="C6" s="338">
        <f>'t13'!K6</f>
        <v>0</v>
      </c>
      <c r="D6" s="339">
        <f>('t3'!M6+'t3'!N6+'t3'!O6+'t3'!P6+'t3'!Q6+'t3'!R6)+('t12'!C6/12)</f>
        <v>0</v>
      </c>
      <c r="E6" s="358" t="str">
        <f>IF(OR((NOT(C6)),(AND(C6&gt;=0,D6&gt;0))),"OK","ERRORE")</f>
        <v>OK</v>
      </c>
    </row>
    <row r="7" spans="1:5" ht="12.75">
      <c r="A7" s="139" t="str">
        <f>'t1'!A7</f>
        <v>PERSONALE NON DIRIGENTE</v>
      </c>
      <c r="B7" s="314" t="str">
        <f>'t1'!B7</f>
        <v>0000ND</v>
      </c>
      <c r="C7" s="338">
        <f>'t13'!K7</f>
        <v>0</v>
      </c>
      <c r="D7" s="339">
        <f>('t3'!M7+'t3'!N7+'t3'!O7+'t3'!P7+'t3'!Q7+'t3'!R7)+('t12'!C7/12)</f>
        <v>0</v>
      </c>
      <c r="E7" s="358" t="str">
        <f>IF(OR((NOT(C7)),(AND(C7&gt;=0,D7&gt;0))),"OK","ERRORE")</f>
        <v>OK</v>
      </c>
    </row>
    <row r="8" spans="1:5" ht="12.75">
      <c r="A8" s="139" t="str">
        <f>'t1'!A8</f>
        <v>CONTRATTISTI (a)</v>
      </c>
      <c r="B8" s="314" t="str">
        <f>'t1'!B8</f>
        <v>000061</v>
      </c>
      <c r="C8" s="338">
        <f>'t13'!K8</f>
        <v>0</v>
      </c>
      <c r="D8" s="339">
        <f>('t3'!M8+'t3'!N8+'t3'!O8+'t3'!P8+'t3'!Q8+'t3'!R8)+('t12'!C8/12)</f>
        <v>0</v>
      </c>
      <c r="E8" s="358" t="str">
        <f>IF(OR((NOT(C8)),(AND(C8&gt;=0,D8&gt;0))),"OK","ERRORE")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8"/>
  <dimension ref="A1:AK13"/>
  <sheetViews>
    <sheetView showGridLines="0" zoomScalePageLayoutView="0" workbookViewId="0" topLeftCell="A1">
      <pane xSplit="2" ySplit="5" topLeftCell="K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9.5" style="5" customWidth="1"/>
    <col min="2" max="2" width="11.5" style="7" customWidth="1"/>
    <col min="3" max="12" width="10.83203125" style="5" hidden="1" customWidth="1"/>
    <col min="13" max="26" width="9.33203125" style="5" hidden="1" customWidth="1"/>
    <col min="27" max="36" width="10.83203125" style="5" customWidth="1"/>
    <col min="37" max="37" width="0" style="5" hidden="1" customWidth="1"/>
    <col min="38" max="16384" width="9.33203125" style="5" customWidth="1"/>
  </cols>
  <sheetData>
    <row r="1" spans="1:36" ht="24.75" customHeight="1" thickBot="1">
      <c r="A1" s="910" t="str">
        <f>"ENTI ART. 60"&amp;" - anno "&amp;$L$1</f>
        <v>ENTI ART. 60 - anno 2019</v>
      </c>
      <c r="B1" s="910"/>
      <c r="C1" s="910"/>
      <c r="D1" s="910"/>
      <c r="E1" s="910"/>
      <c r="F1" s="910"/>
      <c r="G1" s="910"/>
      <c r="H1" s="910"/>
      <c r="I1" s="910"/>
      <c r="J1" s="910"/>
      <c r="K1" s="311"/>
      <c r="L1" s="717">
        <v>2019</v>
      </c>
      <c r="M1" s="311"/>
      <c r="N1" s="311"/>
      <c r="O1" s="311"/>
      <c r="P1" s="311"/>
      <c r="Q1" s="311"/>
      <c r="R1" s="311"/>
      <c r="S1" s="311"/>
      <c r="T1" s="311"/>
      <c r="U1" s="311"/>
      <c r="V1" s="311"/>
      <c r="W1" s="311"/>
      <c r="X1" s="311"/>
      <c r="Y1" s="311"/>
      <c r="Z1" s="311"/>
      <c r="AA1" s="311"/>
      <c r="AB1" s="311"/>
      <c r="AC1" s="311"/>
      <c r="AD1" s="311"/>
      <c r="AE1" s="311"/>
      <c r="AF1" s="311"/>
      <c r="AG1" s="311"/>
      <c r="AH1" s="311"/>
      <c r="AI1" s="311"/>
      <c r="AJ1" s="717"/>
    </row>
    <row r="2" spans="1:36" ht="30" customHeight="1" thickBot="1">
      <c r="A2" s="393"/>
      <c r="B2" s="394"/>
      <c r="C2" s="361"/>
      <c r="D2" s="361"/>
      <c r="E2" s="361"/>
      <c r="F2" s="361"/>
      <c r="G2" s="1022"/>
      <c r="H2" s="1023"/>
      <c r="I2" s="1023"/>
      <c r="J2" s="1023"/>
      <c r="K2" s="1023"/>
      <c r="L2" s="1024"/>
      <c r="AA2" s="361"/>
      <c r="AB2" s="361"/>
      <c r="AC2" s="361"/>
      <c r="AD2" s="361"/>
      <c r="AE2" s="1013"/>
      <c r="AF2" s="1013"/>
      <c r="AG2" s="1013"/>
      <c r="AH2" s="1013"/>
      <c r="AI2" s="1013"/>
      <c r="AJ2" s="1013"/>
    </row>
    <row r="3" spans="1:36" ht="15" customHeight="1" thickBot="1">
      <c r="A3" s="363"/>
      <c r="B3" s="364"/>
      <c r="C3" s="1017" t="s">
        <v>72</v>
      </c>
      <c r="D3" s="1017"/>
      <c r="E3" s="1017"/>
      <c r="F3" s="1017"/>
      <c r="G3" s="1018"/>
      <c r="H3" s="1018"/>
      <c r="I3" s="1018"/>
      <c r="J3" s="1018"/>
      <c r="K3" s="1018"/>
      <c r="L3" s="1019"/>
      <c r="AA3" s="1014" t="s">
        <v>72</v>
      </c>
      <c r="AB3" s="1015"/>
      <c r="AC3" s="1015"/>
      <c r="AD3" s="1015"/>
      <c r="AE3" s="1015"/>
      <c r="AF3" s="1015"/>
      <c r="AG3" s="1015"/>
      <c r="AH3" s="1015"/>
      <c r="AI3" s="1015"/>
      <c r="AJ3" s="1016"/>
    </row>
    <row r="4" spans="1:36" ht="23.25" thickTop="1">
      <c r="A4" s="858" t="s">
        <v>140</v>
      </c>
      <c r="B4" s="1020" t="s">
        <v>73</v>
      </c>
      <c r="C4" s="22" t="str">
        <f>"Totale dipendenti al 31/12/"&amp;L1-1&amp;" (*)"</f>
        <v>Totale dipendenti al 31/12/2018 (*)</v>
      </c>
      <c r="D4" s="21"/>
      <c r="E4" s="20" t="s">
        <v>77</v>
      </c>
      <c r="F4" s="21"/>
      <c r="G4" s="22" t="s">
        <v>132</v>
      </c>
      <c r="H4" s="21"/>
      <c r="I4" s="22" t="s">
        <v>133</v>
      </c>
      <c r="J4" s="21"/>
      <c r="K4" s="22" t="str">
        <f>"Totale dipendenti al 31/12/"&amp;L1&amp;" (**)"</f>
        <v>Totale dipendenti al 31/12/2019 (**)</v>
      </c>
      <c r="L4" s="294"/>
      <c r="AA4" s="950" t="str">
        <f>"Totale dipendenti al 31/12/"&amp;L1-1&amp;" (*)"</f>
        <v>Totale dipendenti al 31/12/2018 (*)</v>
      </c>
      <c r="AB4" s="951"/>
      <c r="AC4" s="952" t="s">
        <v>77</v>
      </c>
      <c r="AD4" s="951"/>
      <c r="AE4" s="950" t="s">
        <v>132</v>
      </c>
      <c r="AF4" s="951"/>
      <c r="AG4" s="950" t="s">
        <v>133</v>
      </c>
      <c r="AH4" s="951"/>
      <c r="AI4" s="950" t="str">
        <f>"Totale dipendenti al 31/12/"&amp;L1&amp;" (**)"</f>
        <v>Totale dipendenti al 31/12/2019 (**)</v>
      </c>
      <c r="AJ4" s="294"/>
    </row>
    <row r="5" spans="1:36" ht="12" thickBot="1">
      <c r="A5" s="860" t="s">
        <v>534</v>
      </c>
      <c r="B5" s="1021"/>
      <c r="C5" s="245" t="s">
        <v>74</v>
      </c>
      <c r="D5" s="246" t="s">
        <v>75</v>
      </c>
      <c r="E5" s="245" t="s">
        <v>74</v>
      </c>
      <c r="F5" s="246" t="s">
        <v>75</v>
      </c>
      <c r="G5" s="245" t="s">
        <v>74</v>
      </c>
      <c r="H5" s="246" t="s">
        <v>75</v>
      </c>
      <c r="I5" s="245" t="s">
        <v>74</v>
      </c>
      <c r="J5" s="246" t="s">
        <v>75</v>
      </c>
      <c r="K5" s="245" t="s">
        <v>74</v>
      </c>
      <c r="L5" s="295" t="s">
        <v>75</v>
      </c>
      <c r="AA5" s="245" t="s">
        <v>74</v>
      </c>
      <c r="AB5" s="246" t="s">
        <v>75</v>
      </c>
      <c r="AC5" s="245" t="s">
        <v>74</v>
      </c>
      <c r="AD5" s="246" t="s">
        <v>75</v>
      </c>
      <c r="AE5" s="245" t="s">
        <v>74</v>
      </c>
      <c r="AF5" s="246" t="s">
        <v>75</v>
      </c>
      <c r="AG5" s="245" t="s">
        <v>74</v>
      </c>
      <c r="AH5" s="246" t="s">
        <v>75</v>
      </c>
      <c r="AI5" s="245" t="s">
        <v>74</v>
      </c>
      <c r="AJ5" s="295" t="s">
        <v>75</v>
      </c>
    </row>
    <row r="6" spans="1:37" ht="12.75" customHeight="1" thickTop="1">
      <c r="A6" s="156" t="s">
        <v>441</v>
      </c>
      <c r="B6" s="354" t="s">
        <v>442</v>
      </c>
      <c r="C6" s="879">
        <f aca="true" t="shared" si="0" ref="C6:D8">ROUND(AA6,0)</f>
        <v>0</v>
      </c>
      <c r="D6" s="880">
        <f t="shared" si="0"/>
        <v>0</v>
      </c>
      <c r="E6" s="881">
        <f aca="true" t="shared" si="1" ref="E6:J8">ROUND(AC6,0)</f>
        <v>0</v>
      </c>
      <c r="F6" s="882">
        <f t="shared" si="1"/>
        <v>0</v>
      </c>
      <c r="G6" s="881">
        <f t="shared" si="1"/>
        <v>0</v>
      </c>
      <c r="H6" s="882">
        <f t="shared" si="1"/>
        <v>0</v>
      </c>
      <c r="I6" s="881">
        <f t="shared" si="1"/>
        <v>0</v>
      </c>
      <c r="J6" s="882">
        <f t="shared" si="1"/>
        <v>0</v>
      </c>
      <c r="K6" s="419">
        <f aca="true" t="shared" si="2" ref="K6:L8">E6+G6+I6</f>
        <v>0</v>
      </c>
      <c r="L6" s="420">
        <f t="shared" si="2"/>
        <v>0</v>
      </c>
      <c r="M6" s="862">
        <f>K6+L6</f>
        <v>0</v>
      </c>
      <c r="AA6" s="322"/>
      <c r="AB6" s="323"/>
      <c r="AC6" s="321"/>
      <c r="AD6" s="251"/>
      <c r="AE6" s="321"/>
      <c r="AF6" s="251"/>
      <c r="AG6" s="321"/>
      <c r="AH6" s="251"/>
      <c r="AI6" s="419">
        <f aca="true" t="shared" si="3" ref="AI6:AJ8">AC6+AE6+AG6</f>
        <v>0</v>
      </c>
      <c r="AJ6" s="420">
        <f t="shared" si="3"/>
        <v>0</v>
      </c>
      <c r="AK6" s="862">
        <f>AI6+AJ6</f>
        <v>0</v>
      </c>
    </row>
    <row r="7" spans="1:37" ht="12.75" customHeight="1">
      <c r="A7" s="156" t="s">
        <v>516</v>
      </c>
      <c r="B7" s="355" t="s">
        <v>443</v>
      </c>
      <c r="C7" s="879">
        <f t="shared" si="0"/>
        <v>0</v>
      </c>
      <c r="D7" s="880">
        <f t="shared" si="0"/>
        <v>0</v>
      </c>
      <c r="E7" s="881">
        <f t="shared" si="1"/>
        <v>0</v>
      </c>
      <c r="F7" s="882">
        <f t="shared" si="1"/>
        <v>0</v>
      </c>
      <c r="G7" s="881">
        <f t="shared" si="1"/>
        <v>0</v>
      </c>
      <c r="H7" s="882">
        <f t="shared" si="1"/>
        <v>0</v>
      </c>
      <c r="I7" s="881">
        <f t="shared" si="1"/>
        <v>0</v>
      </c>
      <c r="J7" s="882">
        <f t="shared" si="1"/>
        <v>0</v>
      </c>
      <c r="K7" s="419">
        <f t="shared" si="2"/>
        <v>0</v>
      </c>
      <c r="L7" s="420">
        <f t="shared" si="2"/>
        <v>0</v>
      </c>
      <c r="M7" s="862">
        <f>K7+L7</f>
        <v>0</v>
      </c>
      <c r="AA7" s="322"/>
      <c r="AB7" s="323"/>
      <c r="AC7" s="321"/>
      <c r="AD7" s="251"/>
      <c r="AE7" s="321"/>
      <c r="AF7" s="251"/>
      <c r="AG7" s="321"/>
      <c r="AH7" s="251"/>
      <c r="AI7" s="419">
        <f t="shared" si="3"/>
        <v>0</v>
      </c>
      <c r="AJ7" s="420">
        <f t="shared" si="3"/>
        <v>0</v>
      </c>
      <c r="AK7" s="862">
        <f>AI7+AJ7</f>
        <v>0</v>
      </c>
    </row>
    <row r="8" spans="1:37" ht="12.75" customHeight="1" thickBot="1">
      <c r="A8" s="156" t="s">
        <v>445</v>
      </c>
      <c r="B8" s="355" t="s">
        <v>444</v>
      </c>
      <c r="C8" s="879">
        <f t="shared" si="0"/>
        <v>0</v>
      </c>
      <c r="D8" s="880">
        <f t="shared" si="0"/>
        <v>0</v>
      </c>
      <c r="E8" s="881">
        <f t="shared" si="1"/>
        <v>0</v>
      </c>
      <c r="F8" s="882">
        <f t="shared" si="1"/>
        <v>0</v>
      </c>
      <c r="G8" s="881">
        <f t="shared" si="1"/>
        <v>0</v>
      </c>
      <c r="H8" s="882">
        <f t="shared" si="1"/>
        <v>0</v>
      </c>
      <c r="I8" s="881">
        <f t="shared" si="1"/>
        <v>0</v>
      </c>
      <c r="J8" s="882">
        <f t="shared" si="1"/>
        <v>0</v>
      </c>
      <c r="K8" s="419">
        <f t="shared" si="2"/>
        <v>0</v>
      </c>
      <c r="L8" s="420">
        <f t="shared" si="2"/>
        <v>0</v>
      </c>
      <c r="M8" s="862">
        <f>K8+L8</f>
        <v>0</v>
      </c>
      <c r="AA8" s="322"/>
      <c r="AB8" s="323"/>
      <c r="AC8" s="321"/>
      <c r="AD8" s="251"/>
      <c r="AE8" s="321"/>
      <c r="AF8" s="251"/>
      <c r="AG8" s="321"/>
      <c r="AH8" s="251"/>
      <c r="AI8" s="419">
        <f t="shared" si="3"/>
        <v>0</v>
      </c>
      <c r="AJ8" s="420">
        <f t="shared" si="3"/>
        <v>0</v>
      </c>
      <c r="AK8" s="862">
        <f>AI8+AJ8</f>
        <v>0</v>
      </c>
    </row>
    <row r="9" spans="1:36" ht="15.75" customHeight="1" thickBot="1" thickTop="1">
      <c r="A9" s="293" t="s">
        <v>76</v>
      </c>
      <c r="B9" s="16"/>
      <c r="C9" s="421">
        <f aca="true" t="shared" si="4" ref="C9:L9">SUM(C6:C8)</f>
        <v>0</v>
      </c>
      <c r="D9" s="422">
        <f t="shared" si="4"/>
        <v>0</v>
      </c>
      <c r="E9" s="421">
        <f t="shared" si="4"/>
        <v>0</v>
      </c>
      <c r="F9" s="422">
        <f t="shared" si="4"/>
        <v>0</v>
      </c>
      <c r="G9" s="421">
        <f t="shared" si="4"/>
        <v>0</v>
      </c>
      <c r="H9" s="422">
        <f t="shared" si="4"/>
        <v>0</v>
      </c>
      <c r="I9" s="421">
        <f t="shared" si="4"/>
        <v>0</v>
      </c>
      <c r="J9" s="422">
        <f t="shared" si="4"/>
        <v>0</v>
      </c>
      <c r="K9" s="421">
        <f t="shared" si="4"/>
        <v>0</v>
      </c>
      <c r="L9" s="423">
        <f t="shared" si="4"/>
        <v>0</v>
      </c>
      <c r="AA9" s="421">
        <f aca="true" t="shared" si="5" ref="AA9:AJ9">SUM(AA6:AA8)</f>
        <v>0</v>
      </c>
      <c r="AB9" s="422">
        <f t="shared" si="5"/>
        <v>0</v>
      </c>
      <c r="AC9" s="421">
        <f t="shared" si="5"/>
        <v>0</v>
      </c>
      <c r="AD9" s="422">
        <f t="shared" si="5"/>
        <v>0</v>
      </c>
      <c r="AE9" s="421">
        <f t="shared" si="5"/>
        <v>0</v>
      </c>
      <c r="AF9" s="422">
        <f t="shared" si="5"/>
        <v>0</v>
      </c>
      <c r="AG9" s="421">
        <f t="shared" si="5"/>
        <v>0</v>
      </c>
      <c r="AH9" s="422">
        <f t="shared" si="5"/>
        <v>0</v>
      </c>
      <c r="AI9" s="421">
        <f t="shared" si="5"/>
        <v>0</v>
      </c>
      <c r="AJ9" s="423">
        <f t="shared" si="5"/>
        <v>0</v>
      </c>
    </row>
    <row r="10" ht="18.75" customHeight="1">
      <c r="A10" s="5" t="s">
        <v>182</v>
      </c>
    </row>
    <row r="11" ht="11.25">
      <c r="A11" s="794" t="str">
        <f>"(*) inserire i dati comunicati nella tab.1 (colonna presenti al 31/12/"&amp;L1-1&amp;") della rilevazione dell'anno precedente"</f>
        <v>(*) inserire i dati comunicati nella tab.1 (colonna presenti al 31/12/2018) della rilevazione dell'anno precedente</v>
      </c>
    </row>
    <row r="12" ht="11.25">
      <c r="A12" s="5" t="s">
        <v>154</v>
      </c>
    </row>
    <row r="13" spans="4:28" ht="12.75">
      <c r="D13" s="795"/>
      <c r="AB13" s="795"/>
    </row>
  </sheetData>
  <sheetProtection password="EA98" sheet="1" formatColumns="0" selectLockedCells="1"/>
  <mergeCells count="5">
    <mergeCell ref="AE2:AJ2"/>
    <mergeCell ref="AA3:AJ3"/>
    <mergeCell ref="C3:L3"/>
    <mergeCell ref="B4:B5"/>
    <mergeCell ref="G2:L2"/>
  </mergeCells>
  <conditionalFormatting sqref="AA6:AJ8 A6:L8">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8"/>
  <dimension ref="A1:N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38.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045" t="str">
        <f>'t1'!A1</f>
        <v>ENTI ART. 60 - anno 2019</v>
      </c>
      <c r="B1" s="1045"/>
      <c r="C1" s="1045"/>
      <c r="D1" s="1045"/>
      <c r="E1" s="1045"/>
      <c r="F1" s="1045"/>
      <c r="G1" s="1045"/>
      <c r="H1" s="1045"/>
      <c r="I1" s="1045"/>
      <c r="J1" s="1045"/>
      <c r="K1" s="1045"/>
      <c r="L1" s="3"/>
      <c r="N1"/>
    </row>
    <row r="2" spans="4:14" s="5" customFormat="1" ht="12.75" customHeight="1">
      <c r="D2" s="1117"/>
      <c r="E2" s="1117"/>
      <c r="F2" s="1117"/>
      <c r="G2" s="1117"/>
      <c r="H2" s="1117"/>
      <c r="I2" s="1117"/>
      <c r="J2" s="1117"/>
      <c r="K2" s="1117"/>
      <c r="L2" s="3"/>
      <c r="N2"/>
    </row>
    <row r="3" spans="1:3" s="5" customFormat="1" ht="21" customHeight="1">
      <c r="A3" s="198" t="s">
        <v>559</v>
      </c>
      <c r="B3" s="7"/>
      <c r="C3" s="7"/>
    </row>
    <row r="4" spans="1:12" ht="45">
      <c r="A4" s="184" t="s">
        <v>236</v>
      </c>
      <c r="B4" s="186" t="s">
        <v>198</v>
      </c>
      <c r="C4" s="185" t="s">
        <v>42</v>
      </c>
      <c r="D4" s="185" t="s">
        <v>43</v>
      </c>
      <c r="E4" s="185" t="s">
        <v>44</v>
      </c>
      <c r="F4" s="185" t="s">
        <v>45</v>
      </c>
      <c r="G4" s="185" t="s">
        <v>46</v>
      </c>
      <c r="H4" s="185" t="s">
        <v>47</v>
      </c>
      <c r="I4" s="185" t="s">
        <v>48</v>
      </c>
      <c r="J4" s="185" t="s">
        <v>49</v>
      </c>
      <c r="K4" s="185" t="s">
        <v>50</v>
      </c>
      <c r="L4" s="622" t="s">
        <v>421</v>
      </c>
    </row>
    <row r="5" spans="1:12" s="202" customFormat="1" ht="56.25" hidden="1">
      <c r="A5" s="183"/>
      <c r="B5" s="196"/>
      <c r="C5" s="196" t="s">
        <v>200</v>
      </c>
      <c r="D5" s="200" t="s">
        <v>201</v>
      </c>
      <c r="E5" s="200" t="s">
        <v>202</v>
      </c>
      <c r="F5" s="200" t="s">
        <v>203</v>
      </c>
      <c r="G5" s="200" t="s">
        <v>204</v>
      </c>
      <c r="H5" s="200" t="s">
        <v>224</v>
      </c>
      <c r="I5" s="200"/>
      <c r="J5" s="665" t="s">
        <v>434</v>
      </c>
      <c r="K5" s="665" t="s">
        <v>513</v>
      </c>
      <c r="L5" s="667"/>
    </row>
    <row r="6" spans="1:12" ht="12.75">
      <c r="A6" s="139" t="str">
        <f>'t1'!A6</f>
        <v>PERSONALE DIRIGENTE</v>
      </c>
      <c r="B6" s="314" t="str">
        <f>'t1'!B6</f>
        <v>0D00NF</v>
      </c>
      <c r="C6" s="338">
        <f>'t11'!U8+'t11'!V8</f>
        <v>0</v>
      </c>
      <c r="D6" s="338">
        <f>'t1'!K6+'t1'!L6</f>
        <v>0</v>
      </c>
      <c r="E6" s="338">
        <f>'t3'!M6+'t3'!N6+'t3'!O6+'t3'!P6+'t3'!Q6+'t3'!R6</f>
        <v>0</v>
      </c>
      <c r="F6" s="338">
        <f>'t4'!F6</f>
        <v>0</v>
      </c>
      <c r="G6" s="336">
        <f>'t4'!C9</f>
        <v>0</v>
      </c>
      <c r="H6" s="338">
        <f>'t5'!S7+'t5'!T7</f>
        <v>0</v>
      </c>
      <c r="I6" s="358" t="str">
        <f>IF(AND(J6="OK",K6="OK"),"OK","ERRORE")</f>
        <v>OK</v>
      </c>
      <c r="J6" s="358" t="str">
        <f>IF(AND(C6&gt;0,D6=0,E6=0,F6=0,G6=0,H6=0),"KO","OK")</f>
        <v>OK</v>
      </c>
      <c r="K6" s="358" t="str">
        <f>IF(AND(C6=0,OR(D6&gt;0,E6&gt;0,F6&gt;0,G6&gt;0,H6&gt;0)),"KO","OK")</f>
        <v>OK</v>
      </c>
      <c r="L6" s="668">
        <f>IF(K6="KO",$K$5,IF(J6="KO",$J$5,""))</f>
      </c>
    </row>
    <row r="7" spans="1:12" ht="12.75">
      <c r="A7" s="139" t="str">
        <f>'t1'!A7</f>
        <v>PERSONALE NON DIRIGENTE</v>
      </c>
      <c r="B7" s="314" t="str">
        <f>'t1'!B7</f>
        <v>0000ND</v>
      </c>
      <c r="C7" s="338">
        <f>'t11'!U9+'t11'!V9</f>
        <v>0</v>
      </c>
      <c r="D7" s="338">
        <f>'t1'!K7+'t1'!L7</f>
        <v>0</v>
      </c>
      <c r="E7" s="338">
        <f>'t3'!M7+'t3'!N7+'t3'!O7+'t3'!P7+'t3'!Q7+'t3'!R7</f>
        <v>0</v>
      </c>
      <c r="F7" s="338">
        <f>'t4'!F7</f>
        <v>0</v>
      </c>
      <c r="G7" s="336">
        <f>'t4'!D9</f>
        <v>0</v>
      </c>
      <c r="H7" s="338">
        <f>'t5'!S8+'t5'!T8</f>
        <v>0</v>
      </c>
      <c r="I7" s="358" t="str">
        <f>IF(AND(J7="OK",K7="OK"),"OK","ERRORE")</f>
        <v>OK</v>
      </c>
      <c r="J7" s="358" t="str">
        <f>IF(AND(C7&gt;0,D7=0,E7=0,F7=0,G7=0,H7=0),"KO","OK")</f>
        <v>OK</v>
      </c>
      <c r="K7" s="358" t="str">
        <f>IF(AND(C7=0,OR(D7&gt;0,E7&gt;0,F7&gt;0,G7&gt;0,H7&gt;0)),"KO","OK")</f>
        <v>OK</v>
      </c>
      <c r="L7" s="668">
        <f>IF(K7="KO",$K$5,IF(J7="KO",$J$5,""))</f>
      </c>
    </row>
    <row r="8" spans="1:12" ht="12.75">
      <c r="A8" s="139" t="str">
        <f>'t1'!A8</f>
        <v>CONTRATTISTI (a)</v>
      </c>
      <c r="B8" s="314" t="str">
        <f>'t1'!B8</f>
        <v>000061</v>
      </c>
      <c r="C8" s="338">
        <f>'t11'!U10+'t11'!V10</f>
        <v>0</v>
      </c>
      <c r="D8" s="338">
        <f>'t1'!K8+'t1'!L8</f>
        <v>0</v>
      </c>
      <c r="E8" s="338">
        <f>'t3'!M8+'t3'!N8+'t3'!O8+'t3'!P8+'t3'!Q8+'t3'!R8</f>
        <v>0</v>
      </c>
      <c r="F8" s="338">
        <f>'t4'!F8</f>
        <v>0</v>
      </c>
      <c r="G8" s="336">
        <f>'t4'!E9</f>
        <v>0</v>
      </c>
      <c r="H8" s="338">
        <f>'t5'!S9+'t5'!T9</f>
        <v>0</v>
      </c>
      <c r="I8" s="358" t="str">
        <f>IF(AND(J8="OK",K8="OK"),"OK","ERRORE")</f>
        <v>OK</v>
      </c>
      <c r="J8" s="358" t="str">
        <f>IF(AND(C8&gt;0,D8=0,E8=0,F8=0,G8=0,H8=0),"KO","OK")</f>
        <v>OK</v>
      </c>
      <c r="K8" s="358" t="str">
        <f>IF(AND(C8=0,OR(D8&gt;0,E8&gt;0,F8&gt;0,G8&gt;0,H8&gt;0)),"KO","OK")</f>
        <v>OK</v>
      </c>
      <c r="L8" s="668">
        <f>IF(K8="KO",$K$5,IF(J8="KO",$J$5,""))</f>
      </c>
    </row>
  </sheetData>
  <sheetProtection password="EA98" sheet="1" formatColumns="0" selectLockedCells="1" selectUnlockedCells="1"/>
  <mergeCells count="2">
    <mergeCell ref="A1:K1"/>
    <mergeCell ref="D2:K2"/>
  </mergeCells>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1.xml><?xml version="1.0" encoding="utf-8"?>
<worksheet xmlns="http://schemas.openxmlformats.org/spreadsheetml/2006/main" xmlns:r="http://schemas.openxmlformats.org/officeDocument/2006/relationships">
  <sheetPr codeName="Foglio33"/>
  <dimension ref="A1:M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9.33203125" defaultRowHeight="10.5"/>
  <cols>
    <col min="1" max="1" width="38.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045" t="str">
        <f>'t1'!A1</f>
        <v>ENTI ART. 60 - anno 2019</v>
      </c>
      <c r="B1" s="1045"/>
      <c r="C1" s="1045"/>
      <c r="D1" s="1045"/>
      <c r="E1" s="1045"/>
      <c r="F1" s="1045"/>
      <c r="G1" s="1045"/>
      <c r="H1" s="1045"/>
      <c r="I1" s="1045"/>
      <c r="J1" s="1045"/>
      <c r="K1" s="3"/>
      <c r="M1"/>
    </row>
    <row r="2" spans="4:13" s="5" customFormat="1" ht="12.75" customHeight="1">
      <c r="D2" s="1117"/>
      <c r="E2" s="1117"/>
      <c r="F2" s="1117"/>
      <c r="G2" s="1117"/>
      <c r="H2" s="1117"/>
      <c r="I2" s="1117"/>
      <c r="J2" s="1117"/>
      <c r="K2" s="3"/>
      <c r="M2"/>
    </row>
    <row r="3" spans="1:3" s="5" customFormat="1" ht="21" customHeight="1">
      <c r="A3" s="198" t="s">
        <v>415</v>
      </c>
      <c r="B3" s="7"/>
      <c r="C3" s="7"/>
    </row>
    <row r="4" spans="1:10" ht="33.75">
      <c r="A4" s="184" t="s">
        <v>236</v>
      </c>
      <c r="B4" s="186" t="s">
        <v>198</v>
      </c>
      <c r="C4" s="622" t="s">
        <v>298</v>
      </c>
      <c r="D4" s="185" t="s">
        <v>305</v>
      </c>
      <c r="E4" s="622" t="s">
        <v>408</v>
      </c>
      <c r="F4" s="622" t="s">
        <v>414</v>
      </c>
      <c r="G4" s="185" t="s">
        <v>359</v>
      </c>
      <c r="H4" s="622" t="s">
        <v>409</v>
      </c>
      <c r="I4" s="622" t="s">
        <v>414</v>
      </c>
      <c r="J4" s="622" t="s">
        <v>410</v>
      </c>
    </row>
    <row r="5" spans="1:10" s="202" customFormat="1" ht="10.5">
      <c r="A5" s="183"/>
      <c r="B5" s="196"/>
      <c r="C5" s="196" t="s">
        <v>200</v>
      </c>
      <c r="D5" s="200" t="s">
        <v>201</v>
      </c>
      <c r="E5" s="200" t="s">
        <v>406</v>
      </c>
      <c r="F5" s="200" t="s">
        <v>412</v>
      </c>
      <c r="G5" s="200" t="s">
        <v>204</v>
      </c>
      <c r="H5" s="200" t="s">
        <v>407</v>
      </c>
      <c r="I5" s="200" t="s">
        <v>413</v>
      </c>
      <c r="J5" s="200"/>
    </row>
    <row r="6" spans="1:10" ht="12.75">
      <c r="A6" s="139" t="str">
        <f>'t1'!A6</f>
        <v>PERSONALE DIRIGENTE</v>
      </c>
      <c r="B6" s="314" t="str">
        <f>'t1'!B6</f>
        <v>0D00NF</v>
      </c>
      <c r="C6" s="338">
        <f>'t13'!K6</f>
        <v>0</v>
      </c>
      <c r="D6" s="338">
        <f>'t13'!H6</f>
        <v>0</v>
      </c>
      <c r="E6" s="340" t="str">
        <f>IF($C6=0," ",IF(D6=0," ",D6/$C6))</f>
        <v> </v>
      </c>
      <c r="F6" s="319" t="str">
        <f>IF($C6=0," ",IF(D6=0," ",IF(E6&gt;0.2,"ERRORE","OK")))</f>
        <v> </v>
      </c>
      <c r="G6" s="338">
        <v>0</v>
      </c>
      <c r="H6" s="340" t="str">
        <f>IF($C6=0," ",IF(G6=0," ",G6/$C6))</f>
        <v> </v>
      </c>
      <c r="I6" s="319" t="str">
        <f>IF($C6=0," ",IF(G6=0," ",IF(H6&gt;0.2,"ERRORE","OK")))</f>
        <v> </v>
      </c>
      <c r="J6" s="358" t="str">
        <f>IF(OR(F6="ERRORE",I6="ERRORE"),"ERRORE","OK")</f>
        <v>OK</v>
      </c>
    </row>
    <row r="7" spans="1:10" ht="12.75">
      <c r="A7" s="139" t="str">
        <f>'t1'!A7</f>
        <v>PERSONALE NON DIRIGENTE</v>
      </c>
      <c r="B7" s="314" t="str">
        <f>'t1'!B7</f>
        <v>0000ND</v>
      </c>
      <c r="C7" s="338">
        <f>'t13'!K7</f>
        <v>0</v>
      </c>
      <c r="D7" s="338">
        <f>'t13'!H7</f>
        <v>0</v>
      </c>
      <c r="E7" s="340" t="str">
        <f>IF($C7=0," ",IF(D7=0," ",D7/$C7))</f>
        <v> </v>
      </c>
      <c r="F7" s="319" t="str">
        <f>IF($C7=0," ",IF(D7=0," ",IF(E7&gt;0.2,"ERRORE","OK")))</f>
        <v> </v>
      </c>
      <c r="G7" s="338">
        <v>0</v>
      </c>
      <c r="H7" s="340" t="str">
        <f>IF($C7=0," ",IF(G7=0," ",G7/$C7))</f>
        <v> </v>
      </c>
      <c r="I7" s="319" t="str">
        <f>IF($C7=0," ",IF(G7=0," ",IF(H7&gt;0.2,"ERRORE","OK")))</f>
        <v> </v>
      </c>
      <c r="J7" s="358" t="str">
        <f>IF(OR(F7="ERRORE",I7="ERRORE"),"ERRORE","OK")</f>
        <v>OK</v>
      </c>
    </row>
    <row r="8" spans="1:10" ht="12.75">
      <c r="A8" s="139" t="str">
        <f>'t1'!A8</f>
        <v>CONTRATTISTI (a)</v>
      </c>
      <c r="B8" s="314" t="str">
        <f>'t1'!B8</f>
        <v>000061</v>
      </c>
      <c r="C8" s="338">
        <f>'t13'!K8</f>
        <v>0</v>
      </c>
      <c r="D8" s="338">
        <f>'t13'!H8</f>
        <v>0</v>
      </c>
      <c r="E8" s="340" t="str">
        <f>IF($C8=0," ",IF(D8=0," ",D8/$C8))</f>
        <v> </v>
      </c>
      <c r="F8" s="319" t="str">
        <f>IF($C8=0," ",IF(D8=0," ",IF(E8&gt;0.2,"ERRORE","OK")))</f>
        <v> </v>
      </c>
      <c r="G8" s="338">
        <v>0</v>
      </c>
      <c r="H8" s="340" t="str">
        <f>IF($C8=0," ",IF(G8=0," ",G8/$C8))</f>
        <v> </v>
      </c>
      <c r="I8" s="319" t="str">
        <f>IF($C8=0," ",IF(G8=0," ",IF(H8&gt;0.2,"ERRORE","OK")))</f>
        <v> </v>
      </c>
      <c r="J8" s="358" t="str">
        <f>IF(OR(F8="ERRORE",I8="ERRORE"),"ERRORE","OK")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2.xml><?xml version="1.0" encoding="utf-8"?>
<worksheet xmlns="http://schemas.openxmlformats.org/spreadsheetml/2006/main" xmlns:r="http://schemas.openxmlformats.org/officeDocument/2006/relationships">
  <sheetPr codeName="Foglio3"/>
  <dimension ref="A1:L9"/>
  <sheetViews>
    <sheetView zoomScalePageLayoutView="0" workbookViewId="0" topLeftCell="A1">
      <selection activeCell="A9" sqref="A9"/>
    </sheetView>
  </sheetViews>
  <sheetFormatPr defaultColWidth="9.33203125" defaultRowHeight="10.5"/>
  <cols>
    <col min="1" max="1" width="37.66015625" style="5" customWidth="1"/>
    <col min="2" max="2" width="8.5" style="7" hidden="1" customWidth="1"/>
    <col min="3" max="5" width="12.66015625" style="5" customWidth="1"/>
    <col min="6" max="6" width="1.66796875" style="3" customWidth="1"/>
    <col min="7" max="9" width="12.66015625" style="579" customWidth="1"/>
    <col min="10" max="10" width="1.66796875" style="0" customWidth="1"/>
    <col min="11" max="12" width="14.66015625" style="0" customWidth="1"/>
  </cols>
  <sheetData>
    <row r="1" spans="1:12" ht="50.25" customHeight="1">
      <c r="A1" s="1175" t="str">
        <f>'t1'!A1</f>
        <v>ENTI ART. 60 - anno 2019</v>
      </c>
      <c r="B1" s="1175"/>
      <c r="C1" s="1175"/>
      <c r="D1" s="1175"/>
      <c r="E1" s="1175"/>
      <c r="F1" s="1175"/>
      <c r="G1" s="1175"/>
      <c r="H1" s="1175"/>
      <c r="I1" s="1175"/>
      <c r="J1" s="1175"/>
      <c r="K1" s="1175"/>
      <c r="L1" s="1175"/>
    </row>
    <row r="2" spans="1:12" ht="42" customHeight="1" thickBot="1">
      <c r="A2" s="1168" t="s">
        <v>520</v>
      </c>
      <c r="B2" s="1168"/>
      <c r="C2" s="1168"/>
      <c r="D2" s="1168"/>
      <c r="E2" s="1168"/>
      <c r="F2" s="1168"/>
      <c r="G2" s="1168"/>
      <c r="H2" s="1168"/>
      <c r="I2" s="1168"/>
      <c r="J2" s="1168"/>
      <c r="K2" s="1168"/>
      <c r="L2" s="1168"/>
    </row>
    <row r="3" spans="1:12" ht="30" customHeight="1" thickBot="1">
      <c r="A3" s="820" t="s">
        <v>105</v>
      </c>
      <c r="B3" s="821" t="s">
        <v>73</v>
      </c>
      <c r="C3" s="1169" t="s">
        <v>521</v>
      </c>
      <c r="D3" s="1170"/>
      <c r="E3" s="1171"/>
      <c r="F3" s="822"/>
      <c r="G3" s="1172" t="s">
        <v>522</v>
      </c>
      <c r="H3" s="1173"/>
      <c r="I3" s="1174"/>
      <c r="K3" s="1172" t="s">
        <v>523</v>
      </c>
      <c r="L3" s="1174"/>
    </row>
    <row r="4" spans="1:12" ht="12.75">
      <c r="A4" s="823"/>
      <c r="B4" s="824"/>
      <c r="C4" s="825" t="s">
        <v>74</v>
      </c>
      <c r="D4" s="826" t="s">
        <v>75</v>
      </c>
      <c r="E4" s="827" t="s">
        <v>524</v>
      </c>
      <c r="F4" s="828"/>
      <c r="G4" s="825" t="s">
        <v>74</v>
      </c>
      <c r="H4" s="826" t="s">
        <v>75</v>
      </c>
      <c r="I4" s="827" t="s">
        <v>524</v>
      </c>
      <c r="J4" s="202"/>
      <c r="K4" s="825" t="s">
        <v>74</v>
      </c>
      <c r="L4" s="827" t="s">
        <v>75</v>
      </c>
    </row>
    <row r="5" spans="1:12" ht="12.75">
      <c r="A5" s="829"/>
      <c r="B5" s="830"/>
      <c r="C5" s="831" t="s">
        <v>200</v>
      </c>
      <c r="D5" s="665" t="s">
        <v>201</v>
      </c>
      <c r="E5" s="832" t="s">
        <v>202</v>
      </c>
      <c r="F5" s="833"/>
      <c r="G5" s="834" t="s">
        <v>203</v>
      </c>
      <c r="H5" s="665" t="s">
        <v>204</v>
      </c>
      <c r="I5" s="832" t="s">
        <v>224</v>
      </c>
      <c r="J5" s="116"/>
      <c r="K5" s="834" t="s">
        <v>525</v>
      </c>
      <c r="L5" s="832" t="s">
        <v>526</v>
      </c>
    </row>
    <row r="6" spans="1:12" ht="12.75">
      <c r="A6" s="835" t="str">
        <f>'t2'!A6</f>
        <v>PERSONALE NON DIRIGENTE</v>
      </c>
      <c r="B6" s="836" t="str">
        <f>'t2'!B6</f>
        <v>LI</v>
      </c>
      <c r="C6" s="837">
        <f>'t2'!C6</f>
        <v>0</v>
      </c>
      <c r="D6" s="838">
        <f>'t2'!D6</f>
        <v>0</v>
      </c>
      <c r="E6" s="839">
        <f>SUM(C6:D6)</f>
        <v>0</v>
      </c>
      <c r="F6" s="833"/>
      <c r="G6" s="840">
        <f>'t2A'!D12+'t2A'!F12+'t2A'!H12+'t2A'!J12+'t2A'!L12+'t2A'!N12+'t2A'!P12+'t2A'!R12</f>
        <v>0</v>
      </c>
      <c r="H6" s="841">
        <f>'t2A'!E12+'t2A'!G12+'t2A'!I12+'t2A'!K12+'t2A'!M12+'t2A'!O12+'t2A'!Q12+'t2A'!S12</f>
        <v>0</v>
      </c>
      <c r="I6" s="842">
        <f>SUM(G6:H6)</f>
        <v>0</v>
      </c>
      <c r="K6" s="843" t="str">
        <f>IF(C6&gt;0,IF(G6&gt;0,"OK","Manca T2A"),IF(C6=0,IF(G6=0,"OK","Manca T2"),"orrore"))</f>
        <v>OK</v>
      </c>
      <c r="L6" s="844" t="str">
        <f>IF(D6&gt;0,IF(H6&gt;0,"OK","Manca T2A"),IF(D6=0,IF(H6=0,"OK","Manca T2"),"orrore"))</f>
        <v>OK</v>
      </c>
    </row>
    <row r="7" spans="1:12" ht="13.5" thickBot="1">
      <c r="A7" s="835" t="str">
        <f>'t2'!A7</f>
        <v>PERSONALE CONTRATTISTA</v>
      </c>
      <c r="B7" s="836" t="str">
        <f>'t2'!B7</f>
        <v>PC</v>
      </c>
      <c r="C7" s="837">
        <f>'t2'!C7</f>
        <v>0</v>
      </c>
      <c r="D7" s="838">
        <f>'t2'!D7</f>
        <v>0</v>
      </c>
      <c r="E7" s="839">
        <f>SUM(C7:D7)</f>
        <v>0</v>
      </c>
      <c r="F7" s="833"/>
      <c r="G7" s="840">
        <f>'t2A'!D13+'t2A'!F13+'t2A'!H13+'t2A'!J13+'t2A'!L13+'t2A'!N13+'t2A'!P13+'t2A'!R13</f>
        <v>0</v>
      </c>
      <c r="H7" s="841">
        <f>'t2A'!E13+'t2A'!G13+'t2A'!I13+'t2A'!K13+'t2A'!M13+'t2A'!O13+'t2A'!Q13+'t2A'!S13</f>
        <v>0</v>
      </c>
      <c r="I7" s="842">
        <f>SUM(G7:H7)</f>
        <v>0</v>
      </c>
      <c r="K7" s="843" t="str">
        <f>IF(C7&gt;0,IF(G7&gt;0,"OK","Manca T2A"),IF(C7=0,IF(G7=0,"OK","Manca T2"),"orrore"))</f>
        <v>OK</v>
      </c>
      <c r="L7" s="844" t="str">
        <f>IF(D7&gt;0,IF(H7&gt;0,"OK","Manca T2A"),IF(D7=0,IF(H7=0,"OK","Manca T2"),"orrore"))</f>
        <v>OK</v>
      </c>
    </row>
    <row r="8" spans="1:12" ht="13.5" thickBot="1">
      <c r="A8" s="845" t="s">
        <v>76</v>
      </c>
      <c r="B8" s="846"/>
      <c r="C8" s="847">
        <f>SUM(C6:C7)</f>
        <v>0</v>
      </c>
      <c r="D8" s="848">
        <f>SUM(D6:D7)</f>
        <v>0</v>
      </c>
      <c r="E8" s="849">
        <f>SUM(C8:D8)</f>
        <v>0</v>
      </c>
      <c r="G8" s="850">
        <f>SUM(G6:G7)</f>
        <v>0</v>
      </c>
      <c r="H8" s="851">
        <f>SUM(H6:H7)</f>
        <v>0</v>
      </c>
      <c r="I8" s="852">
        <f>SUM(G8:H8)</f>
        <v>0</v>
      </c>
      <c r="K8" s="853" t="str">
        <f>IF(COUNTIF(K6:K7,"OK")=2,"OK","Errore")</f>
        <v>OK</v>
      </c>
      <c r="L8" s="854" t="str">
        <f>IF(COUNTIF(L6:L7,"OK")=2,"OK","Errore")</f>
        <v>OK</v>
      </c>
    </row>
    <row r="9" spans="1:2" ht="11.25">
      <c r="A9" s="8"/>
      <c r="B9" s="9"/>
    </row>
  </sheetData>
  <sheetProtection password="EA98" sheet="1" formatColumns="0" selectLockedCells="1" selectUnlockedCells="1"/>
  <mergeCells count="5">
    <mergeCell ref="A2:L2"/>
    <mergeCell ref="C3:E3"/>
    <mergeCell ref="G3:I3"/>
    <mergeCell ref="K3:L3"/>
    <mergeCell ref="A1:L1"/>
  </mergeCells>
  <dataValidations count="1">
    <dataValidation type="whole" allowBlank="1" showInputMessage="1" showErrorMessage="1" errorTitle="ERRORE" error="INSERIRE SOLO NUMERI INTERI COMPRESI TRA 0 E 9999999" sqref="G6:H8">
      <formula1>0</formula1>
      <formula2>9999999</formula2>
    </dataValidation>
  </dataValidation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Foglio44">
    <pageSetUpPr fitToPage="1"/>
  </sheetPr>
  <dimension ref="A1:K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045" t="str">
        <f>'t1'!A1</f>
        <v>ENTI ART. 60 - anno 2019</v>
      </c>
      <c r="B1" s="1045"/>
      <c r="C1" s="1045"/>
      <c r="D1" s="1045"/>
      <c r="E1" s="1045"/>
      <c r="F1" s="1045"/>
      <c r="G1" s="1045"/>
      <c r="H1" s="1045"/>
      <c r="I1" s="1045"/>
      <c r="K1"/>
    </row>
    <row r="2" spans="4:11" s="5" customFormat="1" ht="12.75" customHeight="1">
      <c r="D2" s="1117"/>
      <c r="E2" s="1117"/>
      <c r="F2" s="1117"/>
      <c r="G2" s="1117"/>
      <c r="H2" s="618"/>
      <c r="I2" s="3"/>
      <c r="K2"/>
    </row>
    <row r="3" spans="1:9" s="5" customFormat="1" ht="43.5" customHeight="1">
      <c r="A3" s="1176" t="s">
        <v>551</v>
      </c>
      <c r="B3" s="1176"/>
      <c r="C3" s="1176"/>
      <c r="D3" s="1176"/>
      <c r="E3" s="1176"/>
      <c r="F3" s="1176"/>
      <c r="G3" s="1176"/>
      <c r="H3" s="1176"/>
      <c r="I3" s="1176"/>
    </row>
    <row r="4" spans="1:9" ht="67.5">
      <c r="A4" s="619" t="s">
        <v>236</v>
      </c>
      <c r="B4" s="620" t="s">
        <v>198</v>
      </c>
      <c r="C4" s="622" t="s">
        <v>42</v>
      </c>
      <c r="D4" s="622" t="s">
        <v>552</v>
      </c>
      <c r="E4" s="622" t="s">
        <v>553</v>
      </c>
      <c r="F4" s="622" t="s">
        <v>44</v>
      </c>
      <c r="G4" s="622" t="s">
        <v>554</v>
      </c>
      <c r="H4" s="622" t="s">
        <v>436</v>
      </c>
      <c r="I4" s="622" t="s">
        <v>421</v>
      </c>
    </row>
    <row r="5" spans="1:9" s="202" customFormat="1" ht="45" hidden="1">
      <c r="A5" s="183"/>
      <c r="B5" s="196"/>
      <c r="C5" s="196" t="s">
        <v>200</v>
      </c>
      <c r="D5" s="200"/>
      <c r="E5" s="200"/>
      <c r="F5" s="200" t="s">
        <v>202</v>
      </c>
      <c r="G5" s="200"/>
      <c r="H5" s="665" t="s">
        <v>460</v>
      </c>
      <c r="I5" s="667"/>
    </row>
    <row r="6" spans="1:9" s="116" customFormat="1" ht="12.75">
      <c r="A6" s="139" t="str">
        <f>'t1'!A6</f>
        <v>PERSONALE DIRIGENTE</v>
      </c>
      <c r="B6" s="314" t="str">
        <f>'t1'!B6</f>
        <v>0D00NF</v>
      </c>
      <c r="C6" s="926">
        <f>'t11'!U8+'t11'!V8</f>
        <v>0</v>
      </c>
      <c r="D6" s="926">
        <f>(C6-'t11'!Q8-'t11'!R8-'t11'!S8-'t11'!T8)</f>
        <v>0</v>
      </c>
      <c r="E6" s="932">
        <f>'t12'!C6/12</f>
        <v>0</v>
      </c>
      <c r="F6" s="926">
        <f>'t3'!M6+'t3'!N6+'t3'!O6+'t3'!P6+'t3'!Q6+'t3'!R6</f>
        <v>0</v>
      </c>
      <c r="G6" s="358" t="str">
        <f>IF(H6="OK","OK","ERRORE")</f>
        <v>OK</v>
      </c>
      <c r="H6" s="358" t="str">
        <f>IF(((E6+F6)*273)&lt;(D6),"KO","OK")</f>
        <v>OK</v>
      </c>
      <c r="I6" s="668">
        <f>IF(H6="KO",($H$5&amp;(('t12'!C6/12*273)+(('t3'!M6+'t3'!N6+'t3'!O6+'t3'!P6+'t3'!Q6+'t3'!R6)*273))&amp;")"),"")</f>
      </c>
    </row>
    <row r="7" spans="1:9" ht="12.75">
      <c r="A7" s="139" t="str">
        <f>'t1'!A7</f>
        <v>PERSONALE NON DIRIGENTE</v>
      </c>
      <c r="B7" s="314" t="str">
        <f>'t1'!B7</f>
        <v>0000ND</v>
      </c>
      <c r="C7" s="926">
        <f>'t11'!U9+'t11'!V9</f>
        <v>0</v>
      </c>
      <c r="D7" s="926">
        <f>(C7-'t11'!Q9-'t11'!R9-'t11'!S9-'t11'!T9)</f>
        <v>0</v>
      </c>
      <c r="E7" s="932">
        <f>'t12'!C7/12</f>
        <v>0</v>
      </c>
      <c r="F7" s="926">
        <f>'t3'!M7+'t3'!N7+'t3'!O7+'t3'!P7+'t3'!Q7+'t3'!R7</f>
        <v>0</v>
      </c>
      <c r="G7" s="358" t="str">
        <f>IF(H7="OK","OK","ERRORE")</f>
        <v>OK</v>
      </c>
      <c r="H7" s="358" t="str">
        <f>IF(((E7+F7)*273)&lt;(D7),"KO","OK")</f>
        <v>OK</v>
      </c>
      <c r="I7" s="668">
        <f>IF(H7="KO",($H$5&amp;(('t12'!C7/12*273)+(('t3'!M7+'t3'!N7+'t3'!O7+'t3'!P7+'t3'!Q7+'t3'!R7)*273))&amp;")"),"")</f>
      </c>
    </row>
    <row r="8" spans="1:9" ht="12.75">
      <c r="A8" s="139" t="str">
        <f>'t1'!A8</f>
        <v>CONTRATTISTI (a)</v>
      </c>
      <c r="B8" s="314" t="str">
        <f>'t1'!B8</f>
        <v>000061</v>
      </c>
      <c r="C8" s="926">
        <f>'t11'!U10+'t11'!V10</f>
        <v>0</v>
      </c>
      <c r="D8" s="926">
        <f>(C8-'t11'!Q10-'t11'!R10-'t11'!S10-'t11'!T10)</f>
        <v>0</v>
      </c>
      <c r="E8" s="932">
        <f>'t12'!C8/12</f>
        <v>0</v>
      </c>
      <c r="F8" s="926">
        <f>'t3'!M8+'t3'!N8+'t3'!O8+'t3'!P8+'t3'!Q8+'t3'!R8</f>
        <v>0</v>
      </c>
      <c r="G8" s="358" t="str">
        <f>IF(H8="OK","OK","ERRORE")</f>
        <v>OK</v>
      </c>
      <c r="H8" s="358" t="str">
        <f>IF(((E8+F8)*273)&lt;(D8),"KO","OK")</f>
        <v>OK</v>
      </c>
      <c r="I8" s="668">
        <f>IF(H8="KO",($H$5&amp;(('t12'!C8/12*273)+(('t3'!M8+'t3'!N8+'t3'!O8+'t3'!P8+'t3'!Q8+'t3'!R8)*273))&amp;")"),"")</f>
      </c>
    </row>
  </sheetData>
  <sheetProtection password="EA98" sheet="1" formatColumns="0" selectLockedCells="1" selectUnlockedCells="1"/>
  <mergeCells count="3">
    <mergeCell ref="A1:I1"/>
    <mergeCell ref="D2:G2"/>
    <mergeCell ref="A3:I3"/>
  </mergeCells>
  <conditionalFormatting sqref="G6:G8">
    <cfRule type="notContainsText" priority="1" dxfId="15" operator="notContains" stopIfTrue="1" text="OK">
      <formula>ISERROR(SEARCH("OK",G6))</formula>
    </cfRule>
  </conditionalFormatting>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1"/>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910" t="str">
        <f>'t1'!A1</f>
        <v>ENTI ART. 60 - anno 2019</v>
      </c>
      <c r="B1" s="910"/>
      <c r="C1" s="910"/>
      <c r="D1" s="910"/>
      <c r="E1" s="910"/>
      <c r="F1" s="910"/>
      <c r="G1" s="910"/>
      <c r="H1" s="910"/>
      <c r="I1" s="910"/>
      <c r="J1" s="910"/>
      <c r="K1" s="3"/>
      <c r="L1" s="308"/>
      <c r="M1"/>
      <c r="AI1" s="3"/>
      <c r="AJ1" s="308"/>
      <c r="AK1"/>
    </row>
    <row r="2" spans="1:36" ht="30" customHeight="1" thickBot="1">
      <c r="A2" s="6"/>
      <c r="G2" s="1025"/>
      <c r="H2" s="1025"/>
      <c r="I2" s="1025"/>
      <c r="J2" s="1025"/>
      <c r="K2" s="1025"/>
      <c r="L2" s="1025"/>
      <c r="AE2" s="1025"/>
      <c r="AF2" s="1025"/>
      <c r="AG2" s="1025"/>
      <c r="AH2" s="1025"/>
      <c r="AI2" s="1025"/>
      <c r="AJ2" s="1025"/>
    </row>
    <row r="3" spans="1:40" ht="24.75" customHeight="1" thickBot="1">
      <c r="A3" s="12"/>
      <c r="B3" s="13"/>
      <c r="C3" s="105" t="s">
        <v>251</v>
      </c>
      <c r="D3" s="14"/>
      <c r="E3" s="14"/>
      <c r="F3" s="14"/>
      <c r="G3" s="690"/>
      <c r="H3" s="690"/>
      <c r="I3" s="690"/>
      <c r="J3" s="690"/>
      <c r="K3" s="690"/>
      <c r="L3" s="691"/>
      <c r="M3" s="265"/>
      <c r="N3" s="265"/>
      <c r="O3" s="265"/>
      <c r="P3" s="266"/>
      <c r="AA3" s="105" t="s">
        <v>251</v>
      </c>
      <c r="AB3" s="14"/>
      <c r="AC3" s="14"/>
      <c r="AD3" s="14"/>
      <c r="AE3" s="690"/>
      <c r="AF3" s="690"/>
      <c r="AG3" s="690"/>
      <c r="AH3" s="690"/>
      <c r="AI3" s="690"/>
      <c r="AJ3" s="691"/>
      <c r="AK3" s="265"/>
      <c r="AL3" s="265"/>
      <c r="AM3" s="265"/>
      <c r="AN3" s="266"/>
    </row>
    <row r="4" spans="1:40" ht="52.5" customHeight="1" thickTop="1">
      <c r="A4" s="107" t="s">
        <v>105</v>
      </c>
      <c r="B4" s="108" t="s">
        <v>73</v>
      </c>
      <c r="C4" s="19" t="s">
        <v>134</v>
      </c>
      <c r="D4" s="109"/>
      <c r="E4" s="19" t="s">
        <v>135</v>
      </c>
      <c r="F4" s="109"/>
      <c r="G4" s="19" t="s">
        <v>53</v>
      </c>
      <c r="H4" s="109"/>
      <c r="I4" s="134" t="s">
        <v>570</v>
      </c>
      <c r="J4" s="109"/>
      <c r="K4" s="1026" t="s">
        <v>560</v>
      </c>
      <c r="L4" s="1027"/>
      <c r="M4" s="1026" t="s">
        <v>0</v>
      </c>
      <c r="N4" s="1027"/>
      <c r="O4" s="1026" t="s">
        <v>1</v>
      </c>
      <c r="P4" s="1028"/>
      <c r="AA4" s="1029" t="s">
        <v>134</v>
      </c>
      <c r="AB4" s="1030"/>
      <c r="AC4" s="1029" t="s">
        <v>135</v>
      </c>
      <c r="AD4" s="1030"/>
      <c r="AE4" s="1029" t="s">
        <v>53</v>
      </c>
      <c r="AF4" s="1030"/>
      <c r="AG4" s="1026" t="s">
        <v>570</v>
      </c>
      <c r="AH4" s="1027"/>
      <c r="AI4" s="1026" t="s">
        <v>560</v>
      </c>
      <c r="AJ4" s="1027"/>
      <c r="AK4" s="1026" t="s">
        <v>0</v>
      </c>
      <c r="AL4" s="1027"/>
      <c r="AM4" s="1026" t="s">
        <v>1</v>
      </c>
      <c r="AN4" s="1028"/>
    </row>
    <row r="5" spans="1:40" ht="20.25" customHeight="1" thickBot="1">
      <c r="A5" s="15"/>
      <c r="B5" s="18"/>
      <c r="C5" s="506" t="s">
        <v>74</v>
      </c>
      <c r="D5" s="507" t="s">
        <v>75</v>
      </c>
      <c r="E5" s="506" t="s">
        <v>74</v>
      </c>
      <c r="F5" s="507" t="s">
        <v>75</v>
      </c>
      <c r="G5" s="506" t="s">
        <v>74</v>
      </c>
      <c r="H5" s="507" t="s">
        <v>75</v>
      </c>
      <c r="I5" s="506" t="s">
        <v>74</v>
      </c>
      <c r="J5" s="507" t="s">
        <v>75</v>
      </c>
      <c r="K5" s="506" t="s">
        <v>74</v>
      </c>
      <c r="L5" s="508" t="s">
        <v>75</v>
      </c>
      <c r="M5" s="506" t="s">
        <v>74</v>
      </c>
      <c r="N5" s="508" t="s">
        <v>75</v>
      </c>
      <c r="O5" s="506" t="s">
        <v>74</v>
      </c>
      <c r="P5" s="508" t="s">
        <v>75</v>
      </c>
      <c r="AA5" s="506" t="s">
        <v>74</v>
      </c>
      <c r="AB5" s="507" t="s">
        <v>75</v>
      </c>
      <c r="AC5" s="506" t="s">
        <v>74</v>
      </c>
      <c r="AD5" s="507" t="s">
        <v>75</v>
      </c>
      <c r="AE5" s="506" t="s">
        <v>74</v>
      </c>
      <c r="AF5" s="507" t="s">
        <v>75</v>
      </c>
      <c r="AG5" s="506" t="s">
        <v>74</v>
      </c>
      <c r="AH5" s="507" t="s">
        <v>75</v>
      </c>
      <c r="AI5" s="506" t="s">
        <v>74</v>
      </c>
      <c r="AJ5" s="508" t="s">
        <v>75</v>
      </c>
      <c r="AK5" s="506" t="s">
        <v>74</v>
      </c>
      <c r="AL5" s="508" t="s">
        <v>75</v>
      </c>
      <c r="AM5" s="506" t="s">
        <v>74</v>
      </c>
      <c r="AN5" s="508" t="s">
        <v>75</v>
      </c>
    </row>
    <row r="6" spans="1:40" ht="20.25" customHeight="1" thickTop="1">
      <c r="A6" s="815" t="s">
        <v>516</v>
      </c>
      <c r="B6" s="479" t="s">
        <v>446</v>
      </c>
      <c r="C6" s="509">
        <f aca="true" t="shared" si="0" ref="C6:J7">ROUND(AA6,2)</f>
        <v>0</v>
      </c>
      <c r="D6" s="504">
        <f t="shared" si="0"/>
        <v>0</v>
      </c>
      <c r="E6" s="509">
        <f t="shared" si="0"/>
        <v>0</v>
      </c>
      <c r="F6" s="504">
        <f t="shared" si="0"/>
        <v>0</v>
      </c>
      <c r="G6" s="509">
        <f t="shared" si="0"/>
        <v>0</v>
      </c>
      <c r="H6" s="504">
        <f t="shared" si="0"/>
        <v>0</v>
      </c>
      <c r="I6" s="509">
        <f t="shared" si="0"/>
        <v>0</v>
      </c>
      <c r="J6" s="504">
        <f t="shared" si="0"/>
        <v>0</v>
      </c>
      <c r="K6" s="906">
        <f aca="true" t="shared" si="1" ref="K6:P7">ROUND(AI6,0)</f>
        <v>0</v>
      </c>
      <c r="L6" s="907">
        <f t="shared" si="1"/>
        <v>0</v>
      </c>
      <c r="M6" s="906">
        <f t="shared" si="1"/>
        <v>0</v>
      </c>
      <c r="N6" s="907">
        <f t="shared" si="1"/>
        <v>0</v>
      </c>
      <c r="O6" s="906">
        <f t="shared" si="1"/>
        <v>0</v>
      </c>
      <c r="P6" s="907">
        <f t="shared" si="1"/>
        <v>0</v>
      </c>
      <c r="AA6" s="509"/>
      <c r="AB6" s="504"/>
      <c r="AC6" s="509"/>
      <c r="AD6" s="504"/>
      <c r="AE6" s="509"/>
      <c r="AF6" s="504"/>
      <c r="AG6" s="509"/>
      <c r="AH6" s="504"/>
      <c r="AI6" s="509"/>
      <c r="AJ6" s="505"/>
      <c r="AK6" s="509"/>
      <c r="AL6" s="505"/>
      <c r="AM6" s="509"/>
      <c r="AN6" s="505"/>
    </row>
    <row r="7" spans="1:40" ht="20.25" customHeight="1" thickBot="1">
      <c r="A7" s="478" t="s">
        <v>447</v>
      </c>
      <c r="B7" s="479" t="s">
        <v>281</v>
      </c>
      <c r="C7" s="501">
        <f t="shared" si="0"/>
        <v>0</v>
      </c>
      <c r="D7" s="502">
        <f t="shared" si="0"/>
        <v>0</v>
      </c>
      <c r="E7" s="501">
        <f t="shared" si="0"/>
        <v>0</v>
      </c>
      <c r="F7" s="502">
        <f t="shared" si="0"/>
        <v>0</v>
      </c>
      <c r="G7" s="501">
        <f t="shared" si="0"/>
        <v>0</v>
      </c>
      <c r="H7" s="502">
        <f t="shared" si="0"/>
        <v>0</v>
      </c>
      <c r="I7" s="501">
        <f t="shared" si="0"/>
        <v>0</v>
      </c>
      <c r="J7" s="502">
        <f t="shared" si="0"/>
        <v>0</v>
      </c>
      <c r="K7" s="908">
        <f t="shared" si="1"/>
        <v>0</v>
      </c>
      <c r="L7" s="909">
        <f t="shared" si="1"/>
        <v>0</v>
      </c>
      <c r="M7" s="908">
        <f t="shared" si="1"/>
        <v>0</v>
      </c>
      <c r="N7" s="909">
        <f t="shared" si="1"/>
        <v>0</v>
      </c>
      <c r="O7" s="908">
        <f t="shared" si="1"/>
        <v>0</v>
      </c>
      <c r="P7" s="909">
        <f t="shared" si="1"/>
        <v>0</v>
      </c>
      <c r="AA7" s="501"/>
      <c r="AB7" s="502"/>
      <c r="AC7" s="501"/>
      <c r="AD7" s="502"/>
      <c r="AE7" s="501"/>
      <c r="AF7" s="502"/>
      <c r="AG7" s="501"/>
      <c r="AH7" s="502"/>
      <c r="AI7" s="501"/>
      <c r="AJ7" s="503"/>
      <c r="AK7" s="501"/>
      <c r="AL7" s="503"/>
      <c r="AM7" s="501"/>
      <c r="AN7" s="503"/>
    </row>
    <row r="8" spans="1:40" ht="33" customHeight="1" thickBot="1" thickTop="1">
      <c r="A8" s="17" t="s">
        <v>76</v>
      </c>
      <c r="B8" s="16"/>
      <c r="C8" s="510">
        <f aca="true" t="shared" si="2" ref="C8:P8">SUM(C6:C7)</f>
        <v>0</v>
      </c>
      <c r="D8" s="511">
        <f t="shared" si="2"/>
        <v>0</v>
      </c>
      <c r="E8" s="510">
        <f t="shared" si="2"/>
        <v>0</v>
      </c>
      <c r="F8" s="511">
        <f t="shared" si="2"/>
        <v>0</v>
      </c>
      <c r="G8" s="510">
        <f t="shared" si="2"/>
        <v>0</v>
      </c>
      <c r="H8" s="511">
        <f t="shared" si="2"/>
        <v>0</v>
      </c>
      <c r="I8" s="510">
        <f t="shared" si="2"/>
        <v>0</v>
      </c>
      <c r="J8" s="511">
        <f t="shared" si="2"/>
        <v>0</v>
      </c>
      <c r="K8" s="510">
        <f t="shared" si="2"/>
        <v>0</v>
      </c>
      <c r="L8" s="512">
        <f t="shared" si="2"/>
        <v>0</v>
      </c>
      <c r="M8" s="510">
        <f t="shared" si="2"/>
        <v>0</v>
      </c>
      <c r="N8" s="512">
        <f t="shared" si="2"/>
        <v>0</v>
      </c>
      <c r="O8" s="510">
        <f t="shared" si="2"/>
        <v>0</v>
      </c>
      <c r="P8" s="512">
        <f t="shared" si="2"/>
        <v>0</v>
      </c>
      <c r="AA8" s="510">
        <f aca="true" t="shared" si="3" ref="AA8:AN8">SUM(AA6:AA7)</f>
        <v>0</v>
      </c>
      <c r="AB8" s="511">
        <f t="shared" si="3"/>
        <v>0</v>
      </c>
      <c r="AC8" s="510">
        <f t="shared" si="3"/>
        <v>0</v>
      </c>
      <c r="AD8" s="511">
        <f t="shared" si="3"/>
        <v>0</v>
      </c>
      <c r="AE8" s="510">
        <f t="shared" si="3"/>
        <v>0</v>
      </c>
      <c r="AF8" s="511">
        <f t="shared" si="3"/>
        <v>0</v>
      </c>
      <c r="AG8" s="510">
        <f t="shared" si="3"/>
        <v>0</v>
      </c>
      <c r="AH8" s="511">
        <f t="shared" si="3"/>
        <v>0</v>
      </c>
      <c r="AI8" s="510">
        <f t="shared" si="3"/>
        <v>0</v>
      </c>
      <c r="AJ8" s="512">
        <f t="shared" si="3"/>
        <v>0</v>
      </c>
      <c r="AK8" s="510">
        <f t="shared" si="3"/>
        <v>0</v>
      </c>
      <c r="AL8" s="512">
        <f t="shared" si="3"/>
        <v>0</v>
      </c>
      <c r="AM8" s="510">
        <f t="shared" si="3"/>
        <v>0</v>
      </c>
      <c r="AN8" s="512">
        <f t="shared" si="3"/>
        <v>0</v>
      </c>
    </row>
    <row r="9" spans="1:36" ht="8.25" customHeight="1">
      <c r="A9" s="8"/>
      <c r="B9" s="9"/>
      <c r="C9" s="10"/>
      <c r="D9" s="11"/>
      <c r="E9" s="10"/>
      <c r="F9" s="11"/>
      <c r="G9" s="10"/>
      <c r="H9" s="11"/>
      <c r="I9" s="10"/>
      <c r="J9" s="11"/>
      <c r="K9" s="10"/>
      <c r="L9" s="11"/>
      <c r="AA9" s="10"/>
      <c r="AB9" s="11"/>
      <c r="AC9" s="10"/>
      <c r="AD9" s="11"/>
      <c r="AE9" s="10"/>
      <c r="AF9" s="11"/>
      <c r="AG9" s="10"/>
      <c r="AH9" s="11"/>
      <c r="AI9" s="10"/>
      <c r="AJ9" s="11"/>
    </row>
    <row r="10" ht="12.75">
      <c r="A10" s="102" t="s">
        <v>136</v>
      </c>
    </row>
    <row r="11" ht="12.75">
      <c r="A11" s="102" t="s">
        <v>137</v>
      </c>
    </row>
  </sheetData>
  <sheetProtection password="EA98" sheet="1" formatColumns="0" selectLockedCells="1"/>
  <mergeCells count="12">
    <mergeCell ref="AK4:AL4"/>
    <mergeCell ref="AM4:AN4"/>
    <mergeCell ref="G2:L2"/>
    <mergeCell ref="AE2:AJ2"/>
    <mergeCell ref="K4:L4"/>
    <mergeCell ref="M4:N4"/>
    <mergeCell ref="O4:P4"/>
    <mergeCell ref="AI4:AJ4"/>
    <mergeCell ref="AG4:AH4"/>
    <mergeCell ref="AE4:AF4"/>
    <mergeCell ref="AC4:AD4"/>
    <mergeCell ref="AA4:AB4"/>
  </mergeCells>
  <dataValidations count="2">
    <dataValidation type="decimal" allowBlank="1" showInputMessage="1" showErrorMessage="1" promptTitle="ATTENZIONE!" prompt="Inserire solo numeri decimali con due cifre dopo la virgola" sqref="C6:J7 AA6:AH7">
      <formula1>0</formula1>
      <formula2>9999999</formula2>
    </dataValidation>
    <dataValidation type="whole" allowBlank="1" showErrorMessage="1" promptTitle="ATTENZIONE!" prompt="Inserire solo numeri decimali con due cifre dopo la virgola" sqref="K6:P7 AI6:AN7">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28"/>
  <sheetViews>
    <sheetView zoomScalePageLayoutView="0" workbookViewId="0" topLeftCell="A1">
      <selection activeCell="D10" sqref="D10"/>
    </sheetView>
  </sheetViews>
  <sheetFormatPr defaultColWidth="9.33203125" defaultRowHeight="10.5"/>
  <cols>
    <col min="1" max="1" width="6.16015625" style="583" bestFit="1" customWidth="1"/>
    <col min="2" max="2" width="13" style="579" customWidth="1"/>
    <col min="3" max="3" width="29.83203125" style="579" customWidth="1"/>
    <col min="4" max="11" width="13.5" style="579" customWidth="1"/>
    <col min="12" max="19" width="7.83203125" style="579" hidden="1" customWidth="1"/>
    <col min="20" max="20" width="0" style="579" hidden="1" customWidth="1"/>
    <col min="21" max="21" width="8" style="579" customWidth="1"/>
    <col min="22" max="22" width="10.5" style="579" customWidth="1"/>
    <col min="23" max="16384" width="9.33203125" style="579" customWidth="1"/>
  </cols>
  <sheetData>
    <row r="1" spans="1:19" ht="23.25" customHeight="1">
      <c r="A1" s="583" t="str">
        <f>SI_1!A2</f>
        <v>EN60</v>
      </c>
      <c r="B1" s="1033" t="str">
        <f>'t1'!A1</f>
        <v>ENTI ART. 60 - anno 2019</v>
      </c>
      <c r="C1" s="1033"/>
      <c r="D1" s="1033"/>
      <c r="E1" s="1033"/>
      <c r="F1" s="1033"/>
      <c r="G1" s="1033"/>
      <c r="H1" s="1033"/>
      <c r="I1" s="1033"/>
      <c r="J1" s="1033"/>
      <c r="K1" s="1033"/>
      <c r="L1" s="1033"/>
      <c r="M1" s="1033"/>
      <c r="N1" s="1033"/>
      <c r="O1" s="1033"/>
      <c r="P1" s="1033"/>
      <c r="Q1" s="1033"/>
      <c r="R1" s="1033"/>
      <c r="S1" s="1033"/>
    </row>
    <row r="2" spans="4:17" ht="10.5">
      <c r="D2" s="580"/>
      <c r="E2" s="580"/>
      <c r="F2" s="580"/>
      <c r="G2" s="580"/>
      <c r="H2" s="580"/>
      <c r="I2" s="580"/>
      <c r="J2" s="580"/>
      <c r="K2" s="580"/>
      <c r="L2" s="580"/>
      <c r="M2" s="580"/>
      <c r="N2" s="580"/>
      <c r="O2" s="580"/>
      <c r="P2" s="580"/>
      <c r="Q2" s="580"/>
    </row>
    <row r="3" spans="4:18" ht="23.25" customHeight="1">
      <c r="D3" s="581"/>
      <c r="E3" s="581"/>
      <c r="F3" s="581"/>
      <c r="G3" s="581"/>
      <c r="H3" s="581"/>
      <c r="I3" s="581"/>
      <c r="J3" s="600"/>
      <c r="K3" s="600"/>
      <c r="M3" s="582"/>
      <c r="N3" s="582"/>
      <c r="O3" s="582"/>
      <c r="P3" s="582"/>
      <c r="Q3" s="582"/>
      <c r="R3" s="582"/>
    </row>
    <row r="4" ht="12">
      <c r="D4" s="584"/>
    </row>
    <row r="6" spans="2:19" ht="15" customHeight="1" hidden="1" thickTop="1">
      <c r="B6" s="1034"/>
      <c r="C6" s="1035"/>
      <c r="D6" s="1036"/>
      <c r="E6" s="1037"/>
      <c r="F6" s="1037"/>
      <c r="G6" s="1037"/>
      <c r="H6" s="1037"/>
      <c r="I6" s="1037"/>
      <c r="J6" s="1037"/>
      <c r="K6" s="1038"/>
      <c r="L6" s="1036"/>
      <c r="M6" s="1037"/>
      <c r="N6" s="1037"/>
      <c r="O6" s="1037"/>
      <c r="P6" s="1037"/>
      <c r="Q6" s="1037"/>
      <c r="R6" s="1037"/>
      <c r="S6" s="1038"/>
    </row>
    <row r="7" spans="2:19" ht="13.5" customHeight="1" hidden="1">
      <c r="B7" s="1034"/>
      <c r="C7" s="1035"/>
      <c r="D7" s="1039"/>
      <c r="E7" s="1034"/>
      <c r="F7" s="1034"/>
      <c r="G7" s="1034"/>
      <c r="H7" s="1034"/>
      <c r="I7" s="1034"/>
      <c r="J7" s="1034"/>
      <c r="K7" s="1040"/>
      <c r="L7" s="1039"/>
      <c r="M7" s="1034"/>
      <c r="N7" s="1034"/>
      <c r="O7" s="1034"/>
      <c r="P7" s="1034"/>
      <c r="Q7" s="1034"/>
      <c r="R7" s="1034"/>
      <c r="S7" s="1040"/>
    </row>
    <row r="8" spans="2:19" ht="60" customHeight="1">
      <c r="B8" s="1034" t="s">
        <v>351</v>
      </c>
      <c r="C8" s="1035"/>
      <c r="D8" s="1031" t="s">
        <v>312</v>
      </c>
      <c r="E8" s="1032"/>
      <c r="F8" s="1032" t="s">
        <v>313</v>
      </c>
      <c r="G8" s="1032"/>
      <c r="H8" s="1032" t="s">
        <v>314</v>
      </c>
      <c r="I8" s="1032"/>
      <c r="J8" s="1032" t="s">
        <v>315</v>
      </c>
      <c r="K8" s="1041"/>
      <c r="L8" s="1043"/>
      <c r="M8" s="1032"/>
      <c r="N8" s="1032"/>
      <c r="O8" s="1032"/>
      <c r="P8" s="1032"/>
      <c r="Q8" s="1032"/>
      <c r="R8" s="1032"/>
      <c r="S8" s="1041"/>
    </row>
    <row r="9" spans="2:19" ht="12">
      <c r="B9" s="1032" t="s">
        <v>316</v>
      </c>
      <c r="C9" s="1042"/>
      <c r="D9" s="591" t="s">
        <v>91</v>
      </c>
      <c r="E9" s="590" t="s">
        <v>92</v>
      </c>
      <c r="F9" s="589" t="s">
        <v>91</v>
      </c>
      <c r="G9" s="590" t="s">
        <v>92</v>
      </c>
      <c r="H9" s="589" t="s">
        <v>91</v>
      </c>
      <c r="I9" s="590" t="s">
        <v>92</v>
      </c>
      <c r="J9" s="589" t="s">
        <v>91</v>
      </c>
      <c r="K9" s="592" t="s">
        <v>92</v>
      </c>
      <c r="L9" s="591"/>
      <c r="M9" s="590"/>
      <c r="N9" s="589"/>
      <c r="O9" s="590"/>
      <c r="P9" s="589"/>
      <c r="Q9" s="590"/>
      <c r="R9" s="589"/>
      <c r="S9" s="592"/>
    </row>
    <row r="10" spans="1:19" ht="30.75" customHeight="1">
      <c r="A10" s="583" t="s">
        <v>317</v>
      </c>
      <c r="B10" s="1032" t="s">
        <v>318</v>
      </c>
      <c r="C10" s="1042"/>
      <c r="D10" s="700"/>
      <c r="E10" s="605"/>
      <c r="F10" s="605"/>
      <c r="G10" s="605"/>
      <c r="H10" s="606"/>
      <c r="I10" s="606"/>
      <c r="J10" s="606"/>
      <c r="K10" s="608"/>
      <c r="L10" s="607"/>
      <c r="M10" s="606"/>
      <c r="N10" s="606"/>
      <c r="O10" s="606"/>
      <c r="P10" s="606"/>
      <c r="Q10" s="606"/>
      <c r="R10" s="606"/>
      <c r="S10" s="608"/>
    </row>
    <row r="11" spans="2:19" ht="7.5" customHeight="1">
      <c r="B11" s="1044"/>
      <c r="C11" s="1044"/>
      <c r="D11" s="1044"/>
      <c r="E11" s="1044"/>
      <c r="F11" s="1044"/>
      <c r="G11" s="1044"/>
      <c r="H11" s="1044"/>
      <c r="I11" s="1044"/>
      <c r="J11" s="1044"/>
      <c r="K11" s="1044"/>
      <c r="L11" s="1044"/>
      <c r="M11" s="1044"/>
      <c r="N11" s="1044"/>
      <c r="O11" s="1044"/>
      <c r="P11" s="1044"/>
      <c r="Q11" s="1044"/>
      <c r="R11" s="1044"/>
      <c r="S11" s="1044"/>
    </row>
    <row r="12" spans="1:19" ht="15" customHeight="1">
      <c r="A12" s="583" t="str">
        <f>'t2'!B6</f>
        <v>LI</v>
      </c>
      <c r="B12" s="1034" t="s">
        <v>319</v>
      </c>
      <c r="C12" s="593" t="str">
        <f>'t2'!A6</f>
        <v>PERSONALE NON DIRIGENTE</v>
      </c>
      <c r="D12" s="609"/>
      <c r="E12" s="606"/>
      <c r="F12" s="606"/>
      <c r="G12" s="606"/>
      <c r="H12" s="606"/>
      <c r="I12" s="606"/>
      <c r="J12" s="606"/>
      <c r="K12" s="608"/>
      <c r="L12" s="607"/>
      <c r="M12" s="606"/>
      <c r="N12" s="606"/>
      <c r="O12" s="606"/>
      <c r="P12" s="606"/>
      <c r="Q12" s="606"/>
      <c r="R12" s="606"/>
      <c r="S12" s="608"/>
    </row>
    <row r="13" spans="1:19" ht="12">
      <c r="A13" s="583" t="str">
        <f>'t2'!B7</f>
        <v>PC</v>
      </c>
      <c r="B13" s="1034"/>
      <c r="C13" s="593" t="str">
        <f>'t2'!A7</f>
        <v>PERSONALE CONTRATTISTA</v>
      </c>
      <c r="D13" s="609"/>
      <c r="E13" s="606"/>
      <c r="F13" s="606"/>
      <c r="G13" s="606"/>
      <c r="H13" s="606"/>
      <c r="I13" s="606"/>
      <c r="J13" s="606"/>
      <c r="K13" s="608"/>
      <c r="L13" s="607"/>
      <c r="M13" s="606"/>
      <c r="N13" s="606"/>
      <c r="O13" s="606"/>
      <c r="P13" s="606"/>
      <c r="Q13" s="606"/>
      <c r="R13" s="606"/>
      <c r="S13" s="608"/>
    </row>
    <row r="14" spans="1:20" s="587" customFormat="1" ht="13.5">
      <c r="A14" s="585"/>
      <c r="B14" s="1034"/>
      <c r="C14" s="594" t="s">
        <v>320</v>
      </c>
      <c r="D14" s="610">
        <f aca="true" t="shared" si="0" ref="D14:K14">SUM(D12:D13)</f>
        <v>0</v>
      </c>
      <c r="E14" s="611">
        <f t="shared" si="0"/>
        <v>0</v>
      </c>
      <c r="F14" s="611">
        <f t="shared" si="0"/>
        <v>0</v>
      </c>
      <c r="G14" s="611">
        <f t="shared" si="0"/>
        <v>0</v>
      </c>
      <c r="H14" s="611">
        <f t="shared" si="0"/>
        <v>0</v>
      </c>
      <c r="I14" s="611">
        <f t="shared" si="0"/>
        <v>0</v>
      </c>
      <c r="J14" s="611">
        <f t="shared" si="0"/>
        <v>0</v>
      </c>
      <c r="K14" s="612">
        <f t="shared" si="0"/>
        <v>0</v>
      </c>
      <c r="L14" s="610"/>
      <c r="M14" s="611"/>
      <c r="N14" s="611"/>
      <c r="O14" s="611"/>
      <c r="P14" s="611"/>
      <c r="Q14" s="611"/>
      <c r="R14" s="611"/>
      <c r="S14" s="612"/>
      <c r="T14" s="586">
        <f>SUM(D14:S14,D10:S10)</f>
        <v>0</v>
      </c>
    </row>
    <row r="22" ht="16.5" customHeight="1"/>
    <row r="23" spans="6:7" ht="12.75">
      <c r="F23" s="588"/>
      <c r="G23" s="588"/>
    </row>
    <row r="24" spans="6:7" ht="12.75">
      <c r="F24" s="588"/>
      <c r="G24" s="588"/>
    </row>
    <row r="26" spans="6:7" ht="12.75">
      <c r="F26" s="588"/>
      <c r="G26" s="588"/>
    </row>
    <row r="28" spans="6:7" ht="12.75">
      <c r="F28" s="588"/>
      <c r="G28" s="588"/>
    </row>
  </sheetData>
  <sheetProtection password="EA98" sheet="1" formatColumns="0" selectLockedCells="1"/>
  <mergeCells count="17">
    <mergeCell ref="B12:B14"/>
    <mergeCell ref="P8:Q8"/>
    <mergeCell ref="R8:S8"/>
    <mergeCell ref="B9:C9"/>
    <mergeCell ref="B10:C10"/>
    <mergeCell ref="J8:K8"/>
    <mergeCell ref="L8:M8"/>
    <mergeCell ref="N8:O8"/>
    <mergeCell ref="B11:S11"/>
    <mergeCell ref="B8:C8"/>
    <mergeCell ref="D8:E8"/>
    <mergeCell ref="F8:G8"/>
    <mergeCell ref="H8:I8"/>
    <mergeCell ref="B1:S1"/>
    <mergeCell ref="B6:C7"/>
    <mergeCell ref="D6:K7"/>
    <mergeCell ref="L6:S7"/>
  </mergeCells>
  <dataValidations count="1">
    <dataValidation type="whole" allowBlank="1" showInputMessage="1" showErrorMessage="1" errorTitle="ERRORE" error="INSERIRE SOLO NUMERI INTERI COMPRESI TRA 0 E 9999999" sqref="D10:S10 D12:S13">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1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4.16015625" style="91" customWidth="1"/>
    <col min="2" max="2" width="10.66015625" style="100" customWidth="1"/>
    <col min="3" max="16" width="11.5" style="91" customWidth="1"/>
    <col min="17" max="18" width="11.5" style="0" customWidth="1"/>
    <col min="19" max="19" width="9.16015625" style="91" hidden="1" customWidth="1"/>
    <col min="20" max="20" width="9.16015625" style="91" customWidth="1"/>
    <col min="21" max="21" width="6.66015625" style="91" customWidth="1"/>
    <col min="22" max="25" width="10.83203125" style="91" customWidth="1"/>
    <col min="26" max="16384" width="10.66015625" style="91" customWidth="1"/>
  </cols>
  <sheetData>
    <row r="1" spans="1:19" s="5" customFormat="1" ht="43.5" customHeight="1">
      <c r="A1" s="1045" t="str">
        <f>'t1'!A1</f>
        <v>ENTI ART. 60 - anno 2019</v>
      </c>
      <c r="B1" s="1045"/>
      <c r="C1" s="1045"/>
      <c r="D1" s="1045"/>
      <c r="E1" s="1045"/>
      <c r="F1" s="1045"/>
      <c r="G1" s="1045"/>
      <c r="H1" s="1045"/>
      <c r="I1" s="1045"/>
      <c r="J1" s="1045"/>
      <c r="K1" s="1045"/>
      <c r="L1" s="1045"/>
      <c r="M1" s="1045"/>
      <c r="N1" s="1045"/>
      <c r="O1" s="3"/>
      <c r="P1" s="308"/>
      <c r="Q1"/>
      <c r="R1"/>
      <c r="S1"/>
    </row>
    <row r="2" spans="1:19" s="5" customFormat="1" ht="30" customHeight="1" thickBot="1">
      <c r="A2" s="307"/>
      <c r="B2" s="2"/>
      <c r="C2" s="3"/>
      <c r="D2" s="3"/>
      <c r="E2" s="3"/>
      <c r="F2" s="1046"/>
      <c r="G2" s="1046"/>
      <c r="H2" s="1046"/>
      <c r="I2" s="1046"/>
      <c r="J2" s="1046"/>
      <c r="K2" s="1046"/>
      <c r="L2" s="1046"/>
      <c r="M2" s="1046"/>
      <c r="N2" s="1046"/>
      <c r="O2" s="1046"/>
      <c r="P2" s="1046"/>
      <c r="Q2"/>
      <c r="R2"/>
      <c r="S2"/>
    </row>
    <row r="3" spans="1:20" ht="18.75" customHeight="1" thickBot="1">
      <c r="A3" s="92"/>
      <c r="B3" s="93"/>
      <c r="C3" s="142" t="s">
        <v>141</v>
      </c>
      <c r="D3" s="143"/>
      <c r="E3" s="143"/>
      <c r="F3" s="144"/>
      <c r="G3" s="143"/>
      <c r="H3" s="143"/>
      <c r="I3" s="143"/>
      <c r="J3" s="143"/>
      <c r="K3" s="143"/>
      <c r="L3" s="143"/>
      <c r="M3" s="1050" t="s">
        <v>142</v>
      </c>
      <c r="N3" s="1051"/>
      <c r="O3" s="1051"/>
      <c r="P3" s="1051"/>
      <c r="Q3" s="1051"/>
      <c r="R3" s="1052"/>
      <c r="S3"/>
      <c r="T3"/>
    </row>
    <row r="4" spans="1:20" ht="21.75" customHeight="1" thickTop="1">
      <c r="A4" s="276" t="s">
        <v>139</v>
      </c>
      <c r="B4" s="277" t="s">
        <v>73</v>
      </c>
      <c r="C4" s="145" t="s">
        <v>187</v>
      </c>
      <c r="D4" s="146"/>
      <c r="E4" s="1047" t="s">
        <v>102</v>
      </c>
      <c r="F4" s="1048"/>
      <c r="G4" s="1049" t="s">
        <v>55</v>
      </c>
      <c r="H4" s="1049"/>
      <c r="I4" s="1049" t="s">
        <v>561</v>
      </c>
      <c r="J4" s="1049"/>
      <c r="K4" s="1053" t="s">
        <v>562</v>
      </c>
      <c r="L4" s="1054"/>
      <c r="M4" s="145" t="s">
        <v>187</v>
      </c>
      <c r="N4" s="147"/>
      <c r="O4" s="148" t="s">
        <v>102</v>
      </c>
      <c r="P4" s="147"/>
      <c r="Q4" s="148" t="s">
        <v>55</v>
      </c>
      <c r="R4" s="147"/>
      <c r="S4"/>
      <c r="T4"/>
    </row>
    <row r="5" spans="1:20" ht="12" thickBot="1">
      <c r="A5" s="863" t="s">
        <v>533</v>
      </c>
      <c r="B5" s="278"/>
      <c r="C5" s="149" t="s">
        <v>74</v>
      </c>
      <c r="D5" s="150" t="s">
        <v>75</v>
      </c>
      <c r="E5" s="151" t="s">
        <v>74</v>
      </c>
      <c r="F5" s="150" t="s">
        <v>75</v>
      </c>
      <c r="G5" s="151" t="s">
        <v>74</v>
      </c>
      <c r="H5" s="150" t="s">
        <v>75</v>
      </c>
      <c r="I5" s="151" t="s">
        <v>74</v>
      </c>
      <c r="J5" s="150" t="s">
        <v>75</v>
      </c>
      <c r="K5" s="151" t="s">
        <v>74</v>
      </c>
      <c r="L5" s="150" t="s">
        <v>75</v>
      </c>
      <c r="M5" s="152" t="s">
        <v>74</v>
      </c>
      <c r="N5" s="153" t="s">
        <v>75</v>
      </c>
      <c r="O5" s="154" t="s">
        <v>74</v>
      </c>
      <c r="P5" s="153" t="s">
        <v>75</v>
      </c>
      <c r="Q5" s="154" t="s">
        <v>74</v>
      </c>
      <c r="R5" s="153" t="s">
        <v>75</v>
      </c>
      <c r="S5"/>
      <c r="T5"/>
    </row>
    <row r="6" spans="1:20" ht="12.75" customHeight="1" thickTop="1">
      <c r="A6" s="24" t="str">
        <f>'t1'!A6</f>
        <v>PERSONALE DIRIGENTE</v>
      </c>
      <c r="B6" s="279" t="str">
        <f>'t1'!B6</f>
        <v>0D00NF</v>
      </c>
      <c r="C6" s="228"/>
      <c r="D6" s="229"/>
      <c r="E6" s="230"/>
      <c r="F6" s="520"/>
      <c r="G6" s="522"/>
      <c r="H6" s="229"/>
      <c r="I6" s="522"/>
      <c r="J6" s="229"/>
      <c r="K6" s="522"/>
      <c r="L6" s="229"/>
      <c r="M6" s="231"/>
      <c r="N6" s="232"/>
      <c r="O6" s="233"/>
      <c r="P6" s="613"/>
      <c r="Q6" s="614"/>
      <c r="R6" s="596"/>
      <c r="S6">
        <f>'t1'!M6</f>
        <v>0</v>
      </c>
      <c r="T6"/>
    </row>
    <row r="7" spans="1:20" ht="12.75" customHeight="1">
      <c r="A7" s="23" t="str">
        <f>'t1'!A7</f>
        <v>PERSONALE NON DIRIGENTE</v>
      </c>
      <c r="B7" s="280" t="str">
        <f>'t1'!B7</f>
        <v>0000ND</v>
      </c>
      <c r="C7" s="228"/>
      <c r="D7" s="229"/>
      <c r="E7" s="230"/>
      <c r="F7" s="520"/>
      <c r="G7" s="237"/>
      <c r="H7" s="229"/>
      <c r="I7" s="237"/>
      <c r="J7" s="229"/>
      <c r="K7" s="237"/>
      <c r="L7" s="229"/>
      <c r="M7" s="231"/>
      <c r="N7" s="232"/>
      <c r="O7" s="233"/>
      <c r="P7" s="615"/>
      <c r="Q7" s="616"/>
      <c r="R7" s="597"/>
      <c r="S7">
        <f>'t1'!M7</f>
        <v>0</v>
      </c>
      <c r="T7"/>
    </row>
    <row r="8" spans="1:20" ht="12.75" customHeight="1" thickBot="1">
      <c r="A8" s="23" t="str">
        <f>'t1'!A8</f>
        <v>CONTRATTISTI (a)</v>
      </c>
      <c r="B8" s="280" t="str">
        <f>'t1'!B8</f>
        <v>000061</v>
      </c>
      <c r="C8" s="228"/>
      <c r="D8" s="229"/>
      <c r="E8" s="230"/>
      <c r="F8" s="520"/>
      <c r="G8" s="237"/>
      <c r="H8" s="229"/>
      <c r="I8" s="237"/>
      <c r="J8" s="229"/>
      <c r="K8" s="237"/>
      <c r="L8" s="229"/>
      <c r="M8" s="231"/>
      <c r="N8" s="232"/>
      <c r="O8" s="233"/>
      <c r="P8" s="615"/>
      <c r="Q8" s="616"/>
      <c r="R8" s="597"/>
      <c r="S8">
        <f>'t1'!M8</f>
        <v>0</v>
      </c>
      <c r="T8"/>
    </row>
    <row r="9" spans="1:20" ht="15.75" customHeight="1" thickBot="1" thickTop="1">
      <c r="A9" s="98" t="s">
        <v>76</v>
      </c>
      <c r="B9" s="169"/>
      <c r="C9" s="424">
        <f aca="true" t="shared" si="0" ref="C9:R9">SUM(C6:C8)</f>
        <v>0</v>
      </c>
      <c r="D9" s="425">
        <f t="shared" si="0"/>
        <v>0</v>
      </c>
      <c r="E9" s="426">
        <f t="shared" si="0"/>
        <v>0</v>
      </c>
      <c r="F9" s="521">
        <f t="shared" si="0"/>
        <v>0</v>
      </c>
      <c r="G9" s="426">
        <f t="shared" si="0"/>
        <v>0</v>
      </c>
      <c r="H9" s="519">
        <f t="shared" si="0"/>
        <v>0</v>
      </c>
      <c r="I9" s="426">
        <f t="shared" si="0"/>
        <v>0</v>
      </c>
      <c r="J9" s="519">
        <f t="shared" si="0"/>
        <v>0</v>
      </c>
      <c r="K9" s="426">
        <f t="shared" si="0"/>
        <v>0</v>
      </c>
      <c r="L9" s="519">
        <f t="shared" si="0"/>
        <v>0</v>
      </c>
      <c r="M9" s="424">
        <f t="shared" si="0"/>
        <v>0</v>
      </c>
      <c r="N9" s="425">
        <f t="shared" si="0"/>
        <v>0</v>
      </c>
      <c r="O9" s="426">
        <f t="shared" si="0"/>
        <v>0</v>
      </c>
      <c r="P9" s="425">
        <f t="shared" si="0"/>
        <v>0</v>
      </c>
      <c r="Q9" s="617">
        <f t="shared" si="0"/>
        <v>0</v>
      </c>
      <c r="R9" s="535">
        <f t="shared" si="0"/>
        <v>0</v>
      </c>
      <c r="S9"/>
      <c r="T9"/>
    </row>
    <row r="10" spans="1:16" ht="11.25">
      <c r="A10" s="25"/>
      <c r="B10" s="170"/>
      <c r="C10" s="5"/>
      <c r="D10" s="5"/>
      <c r="E10" s="5"/>
      <c r="F10" s="5"/>
      <c r="G10" s="5"/>
      <c r="H10" s="5"/>
      <c r="I10" s="5"/>
      <c r="J10" s="5"/>
      <c r="K10" s="5"/>
      <c r="L10" s="5"/>
      <c r="M10" s="5"/>
      <c r="N10" s="5"/>
      <c r="O10" s="5"/>
      <c r="P10" s="5"/>
    </row>
    <row r="11" spans="1:24" ht="11.25">
      <c r="A11" s="25" t="str">
        <f>'t1'!$A$10</f>
        <v>(a) personale a tempo indeterminato al quale viene applicato un contratto di lavoro di tipo privatistico (es.:tipografico,chimico,edile,metalmeccanico,portierato, ecc.)</v>
      </c>
      <c r="B11" s="170"/>
      <c r="C11" s="5"/>
      <c r="D11" s="172"/>
      <c r="E11" s="5"/>
      <c r="F11" s="5"/>
      <c r="G11" s="5"/>
      <c r="H11" s="5"/>
      <c r="I11" s="5"/>
      <c r="J11" s="5"/>
      <c r="K11" s="5"/>
      <c r="L11" s="5"/>
      <c r="M11" s="5"/>
      <c r="N11" s="5"/>
      <c r="O11" s="5"/>
      <c r="P11" s="5"/>
      <c r="S11" s="5"/>
      <c r="T11" s="5"/>
      <c r="U11" s="5"/>
      <c r="V11" s="5"/>
      <c r="W11" s="5"/>
      <c r="X11" s="5"/>
    </row>
    <row r="12" spans="1:2" ht="11.25">
      <c r="A12" s="25" t="s">
        <v>245</v>
      </c>
      <c r="B12" s="171"/>
    </row>
    <row r="13" ht="11.25">
      <c r="A13" s="80" t="s">
        <v>143</v>
      </c>
    </row>
  </sheetData>
  <sheetProtection password="EA98" sheet="1" formatColumns="0" selectLockedCells="1"/>
  <mergeCells count="7">
    <mergeCell ref="A1:N1"/>
    <mergeCell ref="F2:P2"/>
    <mergeCell ref="E4:F4"/>
    <mergeCell ref="G4:H4"/>
    <mergeCell ref="M3:R3"/>
    <mergeCell ref="I4:J4"/>
    <mergeCell ref="K4:L4"/>
  </mergeCells>
  <conditionalFormatting sqref="A6:L8">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H20"/>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38.83203125" style="5" customWidth="1"/>
    <col min="2" max="2" width="9.16015625" style="7" customWidth="1"/>
    <col min="3" max="5" width="17" style="7" customWidth="1"/>
    <col min="6" max="6" width="12" style="5" customWidth="1"/>
    <col min="7" max="29" width="3.83203125" style="5" customWidth="1"/>
    <col min="30" max="16384" width="9.33203125" style="5" customWidth="1"/>
  </cols>
  <sheetData>
    <row r="1" spans="1:6" ht="43.5" customHeight="1">
      <c r="A1" s="1045" t="str">
        <f>'t1'!A1</f>
        <v>ENTI ART. 60 - anno 2019</v>
      </c>
      <c r="B1" s="1045"/>
      <c r="C1" s="1045"/>
      <c r="D1" s="1045"/>
      <c r="E1" s="1045"/>
      <c r="F1" s="308"/>
    </row>
    <row r="2" spans="1:6" ht="30" customHeight="1" thickBot="1">
      <c r="A2" s="1"/>
      <c r="B2" s="2"/>
      <c r="C2" s="2"/>
      <c r="D2" s="2"/>
      <c r="E2" s="2"/>
      <c r="F2" s="477"/>
    </row>
    <row r="3" spans="1:6" ht="13.5" thickBot="1">
      <c r="A3" s="301"/>
      <c r="B3" s="13"/>
      <c r="C3" s="1057" t="s">
        <v>72</v>
      </c>
      <c r="D3" s="1057"/>
      <c r="E3" s="1057"/>
      <c r="F3" s="226"/>
    </row>
    <row r="4" spans="1:6" s="102" customFormat="1" ht="33" customHeight="1" thickTop="1">
      <c r="A4" s="304"/>
      <c r="B4" s="302"/>
      <c r="C4" s="1055" t="s">
        <v>181</v>
      </c>
      <c r="D4" s="1056"/>
      <c r="E4" s="1056"/>
      <c r="F4" s="305"/>
    </row>
    <row r="5" spans="1:6" ht="63.75" customHeight="1" thickBot="1">
      <c r="A5" s="300" t="s">
        <v>255</v>
      </c>
      <c r="B5" s="303" t="s">
        <v>256</v>
      </c>
      <c r="C5" s="247" t="str">
        <f>B6</f>
        <v>0D00NF</v>
      </c>
      <c r="D5" s="248" t="str">
        <f>B7</f>
        <v>0000ND</v>
      </c>
      <c r="E5" s="248" t="str">
        <f>B8</f>
        <v>000061</v>
      </c>
      <c r="F5" s="306" t="s">
        <v>138</v>
      </c>
    </row>
    <row r="6" spans="1:6" ht="12" customHeight="1" thickTop="1">
      <c r="A6" s="23" t="str">
        <f>'t1'!A6</f>
        <v>PERSONALE DIRIGENTE</v>
      </c>
      <c r="B6" s="155" t="str">
        <f>'t1'!B6</f>
        <v>0D00NF</v>
      </c>
      <c r="C6" s="249"/>
      <c r="D6" s="249"/>
      <c r="E6" s="249"/>
      <c r="F6" s="427">
        <f>SUM(C6:E6)</f>
        <v>0</v>
      </c>
    </row>
    <row r="7" spans="1:6" ht="12" customHeight="1">
      <c r="A7" s="156" t="str">
        <f>'t1'!A7</f>
        <v>PERSONALE NON DIRIGENTE</v>
      </c>
      <c r="B7" s="227" t="str">
        <f>'t1'!B7</f>
        <v>0000ND</v>
      </c>
      <c r="C7" s="250"/>
      <c r="D7" s="250"/>
      <c r="E7" s="250"/>
      <c r="F7" s="427">
        <f>SUM(C7:E7)</f>
        <v>0</v>
      </c>
    </row>
    <row r="8" spans="1:6" ht="12" customHeight="1" thickBot="1">
      <c r="A8" s="156" t="str">
        <f>'t1'!A8</f>
        <v>CONTRATTISTI (a)</v>
      </c>
      <c r="B8" s="227" t="str">
        <f>'t1'!B8</f>
        <v>000061</v>
      </c>
      <c r="C8" s="250"/>
      <c r="D8" s="250"/>
      <c r="E8" s="250"/>
      <c r="F8" s="427">
        <f>SUM(C8:E8)</f>
        <v>0</v>
      </c>
    </row>
    <row r="9" spans="1:6" s="104" customFormat="1" ht="17.25" customHeight="1" thickBot="1" thickTop="1">
      <c r="A9" s="224" t="s">
        <v>178</v>
      </c>
      <c r="B9" s="225"/>
      <c r="C9" s="429">
        <f>SUM(C6:C8)</f>
        <v>0</v>
      </c>
      <c r="D9" s="430">
        <f>SUM(D6:D8)</f>
        <v>0</v>
      </c>
      <c r="E9" s="430">
        <f>SUM(E6:E8)</f>
        <v>0</v>
      </c>
      <c r="F9" s="428">
        <f>SUM(F6:F8)</f>
        <v>0</v>
      </c>
    </row>
    <row r="10" ht="17.25" customHeight="1">
      <c r="A10" s="25" t="str">
        <f>'t1'!$A$10</f>
        <v>(a) personale a tempo indeterminato al quale viene applicato un contratto di lavoro di tipo privatistico (es.:tipografico,chimico,edile,metalmeccanico,portierato, ecc.)</v>
      </c>
    </row>
    <row r="11" ht="11.25">
      <c r="A11" s="25"/>
    </row>
    <row r="20" ht="11.25">
      <c r="H20" s="165"/>
    </row>
  </sheetData>
  <sheetProtection password="EA98" sheet="1" formatColumns="0" selectLockedCells="1"/>
  <mergeCells count="3">
    <mergeCell ref="C4:E4"/>
    <mergeCell ref="C3:E3"/>
    <mergeCell ref="A1:E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9.83203125" style="91" customWidth="1"/>
    <col min="2" max="2" width="10.66015625" style="100" customWidth="1"/>
    <col min="3" max="14" width="11.16015625" style="91" customWidth="1"/>
    <col min="15" max="18" width="9.33203125" style="91" customWidth="1"/>
    <col min="19" max="20" width="11.16015625" style="91" customWidth="1"/>
    <col min="21" max="21" width="6.66015625" style="91" customWidth="1"/>
    <col min="22" max="25" width="10.83203125" style="91" customWidth="1"/>
    <col min="26" max="16384" width="10.66015625" style="91" customWidth="1"/>
  </cols>
  <sheetData>
    <row r="1" spans="1:20" s="5" customFormat="1" ht="43.5" customHeight="1">
      <c r="A1" s="1045" t="str">
        <f>'t1'!A1</f>
        <v>ENTI ART. 60 - anno 2019</v>
      </c>
      <c r="B1" s="1045"/>
      <c r="C1" s="1045"/>
      <c r="D1" s="1045"/>
      <c r="E1" s="1045"/>
      <c r="F1" s="1045"/>
      <c r="G1" s="1045"/>
      <c r="H1" s="1045"/>
      <c r="I1" s="1045"/>
      <c r="J1" s="1045"/>
      <c r="K1" s="1045"/>
      <c r="L1" s="1045"/>
      <c r="M1" s="1045"/>
      <c r="N1" s="1045"/>
      <c r="O1" s="1045"/>
      <c r="P1" s="1045"/>
      <c r="Q1" s="1045"/>
      <c r="R1" s="1045"/>
      <c r="S1"/>
      <c r="T1" s="308"/>
    </row>
    <row r="2" spans="1:20" s="5" customFormat="1" ht="30" customHeight="1" thickBot="1">
      <c r="A2" s="307"/>
      <c r="B2" s="2"/>
      <c r="C2" s="3"/>
      <c r="D2" s="3"/>
      <c r="E2" s="3"/>
      <c r="F2" s="3"/>
      <c r="G2" s="3"/>
      <c r="H2" s="3"/>
      <c r="I2" s="4"/>
      <c r="J2" s="3"/>
      <c r="K2" s="3"/>
      <c r="L2" s="3"/>
      <c r="M2" s="3"/>
      <c r="N2" s="1046"/>
      <c r="O2" s="1046"/>
      <c r="P2" s="1046"/>
      <c r="Q2" s="1046"/>
      <c r="R2" s="1046"/>
      <c r="S2" s="1046"/>
      <c r="T2" s="1046"/>
    </row>
    <row r="3" spans="1:25" ht="15" customHeight="1" thickBot="1">
      <c r="A3" s="92"/>
      <c r="B3" s="93"/>
      <c r="C3" s="299" t="s">
        <v>251</v>
      </c>
      <c r="D3" s="94"/>
      <c r="E3" s="94"/>
      <c r="F3" s="94"/>
      <c r="G3" s="94"/>
      <c r="H3" s="94"/>
      <c r="I3" s="94"/>
      <c r="J3" s="94"/>
      <c r="K3" s="94"/>
      <c r="L3" s="94"/>
      <c r="M3" s="94"/>
      <c r="N3" s="94"/>
      <c r="O3" s="94"/>
      <c r="P3" s="94"/>
      <c r="Q3" s="94"/>
      <c r="R3" s="94"/>
      <c r="S3" s="94"/>
      <c r="T3" s="95"/>
      <c r="V3"/>
      <c r="W3"/>
      <c r="X3"/>
      <c r="Y3"/>
    </row>
    <row r="4" spans="1:25" ht="30" customHeight="1" thickTop="1">
      <c r="A4" s="276" t="s">
        <v>139</v>
      </c>
      <c r="B4" s="96" t="s">
        <v>73</v>
      </c>
      <c r="C4" s="1058" t="s">
        <v>356</v>
      </c>
      <c r="D4" s="1059"/>
      <c r="E4" s="1058" t="s">
        <v>357</v>
      </c>
      <c r="F4" s="1059"/>
      <c r="G4" s="1058" t="s">
        <v>358</v>
      </c>
      <c r="H4" s="1059"/>
      <c r="I4" s="1058" t="s">
        <v>56</v>
      </c>
      <c r="J4" s="1059"/>
      <c r="K4" s="1058" t="s">
        <v>57</v>
      </c>
      <c r="L4" s="1059"/>
      <c r="M4" s="1058" t="s">
        <v>535</v>
      </c>
      <c r="N4" s="1059"/>
      <c r="O4" s="1058" t="s">
        <v>574</v>
      </c>
      <c r="P4" s="1059"/>
      <c r="Q4" s="1058" t="s">
        <v>101</v>
      </c>
      <c r="R4" s="1059"/>
      <c r="S4" s="1058" t="s">
        <v>76</v>
      </c>
      <c r="T4" s="1062"/>
      <c r="V4"/>
      <c r="W4"/>
      <c r="X4"/>
      <c r="Y4"/>
    </row>
    <row r="5" spans="1:25" ht="11.25">
      <c r="A5" s="644"/>
      <c r="B5" s="96"/>
      <c r="C5" s="1060" t="s">
        <v>361</v>
      </c>
      <c r="D5" s="1061"/>
      <c r="E5" s="1060" t="s">
        <v>362</v>
      </c>
      <c r="F5" s="1061"/>
      <c r="G5" s="1060" t="s">
        <v>363</v>
      </c>
      <c r="H5" s="1061"/>
      <c r="I5" s="1060" t="s">
        <v>364</v>
      </c>
      <c r="J5" s="1061"/>
      <c r="K5" s="1060" t="s">
        <v>365</v>
      </c>
      <c r="L5" s="1061"/>
      <c r="M5" s="1060" t="s">
        <v>502</v>
      </c>
      <c r="N5" s="1061"/>
      <c r="O5" s="1060" t="s">
        <v>399</v>
      </c>
      <c r="P5" s="1061"/>
      <c r="Q5" s="1060" t="s">
        <v>366</v>
      </c>
      <c r="R5" s="1061"/>
      <c r="S5" s="1060"/>
      <c r="T5" s="1063"/>
      <c r="V5"/>
      <c r="W5"/>
      <c r="X5"/>
      <c r="Y5"/>
    </row>
    <row r="6" spans="1:25" ht="12" thickBot="1">
      <c r="A6" s="861"/>
      <c r="B6" s="97"/>
      <c r="C6" s="646" t="s">
        <v>74</v>
      </c>
      <c r="D6" s="647" t="s">
        <v>75</v>
      </c>
      <c r="E6" s="646" t="s">
        <v>74</v>
      </c>
      <c r="F6" s="647" t="s">
        <v>75</v>
      </c>
      <c r="G6" s="646" t="s">
        <v>74</v>
      </c>
      <c r="H6" s="647" t="s">
        <v>75</v>
      </c>
      <c r="I6" s="646" t="s">
        <v>74</v>
      </c>
      <c r="J6" s="647" t="s">
        <v>75</v>
      </c>
      <c r="K6" s="646" t="s">
        <v>74</v>
      </c>
      <c r="L6" s="647" t="s">
        <v>75</v>
      </c>
      <c r="M6" s="646" t="s">
        <v>74</v>
      </c>
      <c r="N6" s="647" t="s">
        <v>75</v>
      </c>
      <c r="O6" s="646" t="s">
        <v>74</v>
      </c>
      <c r="P6" s="647" t="s">
        <v>75</v>
      </c>
      <c r="Q6" s="646" t="s">
        <v>74</v>
      </c>
      <c r="R6" s="647" t="s">
        <v>75</v>
      </c>
      <c r="S6" s="646" t="s">
        <v>74</v>
      </c>
      <c r="T6" s="648" t="s">
        <v>75</v>
      </c>
      <c r="V6"/>
      <c r="W6"/>
      <c r="X6"/>
      <c r="Y6"/>
    </row>
    <row r="7" spans="1:25" ht="12.75" customHeight="1" thickTop="1">
      <c r="A7" s="24" t="str">
        <f>'t1'!A6</f>
        <v>PERSONALE DIRIGENTE</v>
      </c>
      <c r="B7" s="234" t="str">
        <f>'t1'!B6</f>
        <v>0D00NF</v>
      </c>
      <c r="C7" s="230"/>
      <c r="D7" s="235"/>
      <c r="E7" s="230"/>
      <c r="F7" s="235"/>
      <c r="G7" s="230"/>
      <c r="H7" s="235"/>
      <c r="I7" s="230"/>
      <c r="J7" s="235"/>
      <c r="K7" s="522"/>
      <c r="L7" s="229"/>
      <c r="M7" s="230"/>
      <c r="N7" s="235"/>
      <c r="O7" s="236"/>
      <c r="P7" s="235"/>
      <c r="Q7" s="236"/>
      <c r="R7" s="235"/>
      <c r="S7" s="431">
        <f aca="true" t="shared" si="0" ref="S7:T9">SUM(C7,E7,G7,I7,K7,M7,O7,Q7)</f>
        <v>0</v>
      </c>
      <c r="T7" s="432">
        <f t="shared" si="0"/>
        <v>0</v>
      </c>
      <c r="V7"/>
      <c r="W7"/>
      <c r="X7"/>
      <c r="Y7"/>
    </row>
    <row r="8" spans="1:25" ht="12.75" customHeight="1">
      <c r="A8" s="156" t="str">
        <f>'t1'!A7</f>
        <v>PERSONALE NON DIRIGENTE</v>
      </c>
      <c r="B8" s="227" t="str">
        <f>'t1'!B7</f>
        <v>0000ND</v>
      </c>
      <c r="C8" s="230"/>
      <c r="D8" s="235"/>
      <c r="E8" s="230"/>
      <c r="F8" s="235"/>
      <c r="G8" s="230"/>
      <c r="H8" s="235"/>
      <c r="I8" s="230"/>
      <c r="J8" s="235"/>
      <c r="K8" s="524"/>
      <c r="L8" s="229"/>
      <c r="M8" s="230"/>
      <c r="N8" s="235"/>
      <c r="O8" s="236"/>
      <c r="P8" s="235"/>
      <c r="Q8" s="236"/>
      <c r="R8" s="235"/>
      <c r="S8" s="433">
        <f t="shared" si="0"/>
        <v>0</v>
      </c>
      <c r="T8" s="434">
        <f t="shared" si="0"/>
        <v>0</v>
      </c>
      <c r="V8"/>
      <c r="W8"/>
      <c r="X8"/>
      <c r="Y8"/>
    </row>
    <row r="9" spans="1:25" ht="12.75" customHeight="1" thickBot="1">
      <c r="A9" s="156" t="str">
        <f>'t1'!A8</f>
        <v>CONTRATTISTI (a)</v>
      </c>
      <c r="B9" s="227" t="str">
        <f>'t1'!B8</f>
        <v>000061</v>
      </c>
      <c r="C9" s="230"/>
      <c r="D9" s="235"/>
      <c r="E9" s="230"/>
      <c r="F9" s="235"/>
      <c r="G9" s="230"/>
      <c r="H9" s="235"/>
      <c r="I9" s="230"/>
      <c r="J9" s="235"/>
      <c r="K9" s="524"/>
      <c r="L9" s="229"/>
      <c r="M9" s="230"/>
      <c r="N9" s="235"/>
      <c r="O9" s="236"/>
      <c r="P9" s="235"/>
      <c r="Q9" s="236"/>
      <c r="R9" s="235"/>
      <c r="S9" s="433">
        <f t="shared" si="0"/>
        <v>0</v>
      </c>
      <c r="T9" s="434">
        <f t="shared" si="0"/>
        <v>0</v>
      </c>
      <c r="V9"/>
      <c r="W9"/>
      <c r="X9"/>
      <c r="Y9"/>
    </row>
    <row r="10" spans="1:25" ht="13.5" customHeight="1" thickBot="1" thickTop="1">
      <c r="A10" s="292" t="s">
        <v>76</v>
      </c>
      <c r="B10" s="99"/>
      <c r="C10" s="435">
        <f aca="true" t="shared" si="1" ref="C10:T10">SUM(C7:C9)</f>
        <v>0</v>
      </c>
      <c r="D10" s="436">
        <f t="shared" si="1"/>
        <v>0</v>
      </c>
      <c r="E10" s="435">
        <f t="shared" si="1"/>
        <v>0</v>
      </c>
      <c r="F10" s="436">
        <f t="shared" si="1"/>
        <v>0</v>
      </c>
      <c r="G10" s="435">
        <f t="shared" si="1"/>
        <v>0</v>
      </c>
      <c r="H10" s="436">
        <f t="shared" si="1"/>
        <v>0</v>
      </c>
      <c r="I10" s="435">
        <f t="shared" si="1"/>
        <v>0</v>
      </c>
      <c r="J10" s="436">
        <f t="shared" si="1"/>
        <v>0</v>
      </c>
      <c r="K10" s="435">
        <f t="shared" si="1"/>
        <v>0</v>
      </c>
      <c r="L10" s="523">
        <f t="shared" si="1"/>
        <v>0</v>
      </c>
      <c r="M10" s="435">
        <f>SUM(M7:M9)</f>
        <v>0</v>
      </c>
      <c r="N10" s="436">
        <f>SUM(N7:N9)</f>
        <v>0</v>
      </c>
      <c r="O10" s="435">
        <f t="shared" si="1"/>
        <v>0</v>
      </c>
      <c r="P10" s="436">
        <f t="shared" si="1"/>
        <v>0</v>
      </c>
      <c r="Q10" s="435">
        <f t="shared" si="1"/>
        <v>0</v>
      </c>
      <c r="R10" s="436">
        <f t="shared" si="1"/>
        <v>0</v>
      </c>
      <c r="S10" s="435">
        <f t="shared" si="1"/>
        <v>0</v>
      </c>
      <c r="T10" s="536">
        <f t="shared" si="1"/>
        <v>0</v>
      </c>
      <c r="V10"/>
      <c r="W10"/>
      <c r="X10"/>
      <c r="Y10"/>
    </row>
    <row r="11" ht="18.75" customHeight="1">
      <c r="A11" s="91" t="s">
        <v>103</v>
      </c>
    </row>
    <row r="12" spans="1:14" ht="11.25">
      <c r="A12" s="25" t="str">
        <f>'t1'!$A$10</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row>
    <row r="13" ht="11.25">
      <c r="A13" s="25"/>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W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4.16015625" style="80" customWidth="1"/>
    <col min="2" max="2" width="10.66015625" style="90" customWidth="1"/>
    <col min="3" max="8" width="10.83203125" style="80" customWidth="1"/>
    <col min="9" max="12" width="11.16015625" style="80" customWidth="1"/>
    <col min="13" max="20" width="10.33203125" style="80" customWidth="1"/>
    <col min="21" max="22" width="10.83203125" style="80" customWidth="1"/>
    <col min="23" max="23" width="5.83203125" style="80" hidden="1" customWidth="1"/>
    <col min="24" max="16384" width="10.66015625" style="80" customWidth="1"/>
  </cols>
  <sheetData>
    <row r="1" spans="1:23" s="5" customFormat="1" ht="43.5" customHeight="1">
      <c r="A1" s="1045" t="str">
        <f>'t1'!A1</f>
        <v>ENTI ART. 60 - anno 2019</v>
      </c>
      <c r="B1" s="1045"/>
      <c r="C1" s="1045"/>
      <c r="D1" s="1045"/>
      <c r="E1" s="1045"/>
      <c r="F1" s="1045"/>
      <c r="G1" s="1045"/>
      <c r="H1" s="1045"/>
      <c r="I1" s="1045"/>
      <c r="J1" s="1045"/>
      <c r="K1" s="1045"/>
      <c r="L1" s="1045"/>
      <c r="M1" s="1045"/>
      <c r="N1" s="1045"/>
      <c r="O1" s="1045"/>
      <c r="P1" s="1045"/>
      <c r="Q1" s="343"/>
      <c r="R1" s="343"/>
      <c r="S1" s="343"/>
      <c r="T1" s="343"/>
      <c r="U1" s="3"/>
      <c r="V1" s="308"/>
      <c r="W1"/>
    </row>
    <row r="2" spans="1:22" ht="30" customHeight="1" thickBot="1">
      <c r="A2" s="76"/>
      <c r="B2" s="77"/>
      <c r="C2" s="78"/>
      <c r="D2" s="79"/>
      <c r="E2" s="79"/>
      <c r="F2" s="79"/>
      <c r="G2" s="78"/>
      <c r="H2" s="78"/>
      <c r="I2" s="78"/>
      <c r="J2" s="1046"/>
      <c r="K2" s="1046"/>
      <c r="L2" s="1046"/>
      <c r="M2" s="1046"/>
      <c r="N2" s="1046"/>
      <c r="O2" s="1046"/>
      <c r="P2" s="1046"/>
      <c r="Q2" s="1046"/>
      <c r="R2" s="1046"/>
      <c r="S2" s="1046"/>
      <c r="T2" s="1046"/>
      <c r="U2" s="1046"/>
      <c r="V2" s="1046"/>
    </row>
    <row r="3" spans="1:22" ht="15" customHeight="1" thickBot="1">
      <c r="A3" s="81"/>
      <c r="B3" s="82"/>
      <c r="C3" s="83" t="s">
        <v>252</v>
      </c>
      <c r="D3" s="84"/>
      <c r="E3" s="84"/>
      <c r="F3" s="84"/>
      <c r="G3" s="84"/>
      <c r="H3" s="84"/>
      <c r="I3" s="84"/>
      <c r="J3" s="84"/>
      <c r="K3" s="84"/>
      <c r="L3" s="84"/>
      <c r="M3" s="84"/>
      <c r="N3" s="84"/>
      <c r="O3" s="84"/>
      <c r="P3" s="84"/>
      <c r="Q3" s="84"/>
      <c r="R3" s="84"/>
      <c r="S3" s="84"/>
      <c r="T3" s="84"/>
      <c r="U3" s="84"/>
      <c r="V3" s="85"/>
    </row>
    <row r="4" spans="1:22" ht="37.5" customHeight="1" thickTop="1">
      <c r="A4" s="275" t="s">
        <v>144</v>
      </c>
      <c r="B4" s="86" t="s">
        <v>73</v>
      </c>
      <c r="C4" s="1068" t="s">
        <v>360</v>
      </c>
      <c r="D4" s="1048"/>
      <c r="E4" s="1068" t="s">
        <v>101</v>
      </c>
      <c r="F4" s="1048"/>
      <c r="G4" s="1068" t="s">
        <v>518</v>
      </c>
      <c r="H4" s="1069"/>
      <c r="I4" s="1066" t="s">
        <v>336</v>
      </c>
      <c r="J4" s="1074"/>
      <c r="K4" s="1068" t="s">
        <v>337</v>
      </c>
      <c r="L4" s="1069"/>
      <c r="M4" s="1068" t="s">
        <v>338</v>
      </c>
      <c r="N4" s="1069"/>
      <c r="O4" s="1066" t="s">
        <v>339</v>
      </c>
      <c r="P4" s="1067"/>
      <c r="Q4" s="1068" t="s">
        <v>573</v>
      </c>
      <c r="R4" s="1069"/>
      <c r="S4" s="1066" t="s">
        <v>571</v>
      </c>
      <c r="T4" s="1067"/>
      <c r="U4" s="1072" t="s">
        <v>76</v>
      </c>
      <c r="V4" s="1073"/>
    </row>
    <row r="5" spans="1:22" ht="11.25">
      <c r="A5" s="645"/>
      <c r="B5" s="86"/>
      <c r="C5" s="1064" t="s">
        <v>367</v>
      </c>
      <c r="D5" s="1065"/>
      <c r="E5" s="1064" t="s">
        <v>368</v>
      </c>
      <c r="F5" s="1065"/>
      <c r="G5" s="1064" t="s">
        <v>369</v>
      </c>
      <c r="H5" s="1065"/>
      <c r="I5" s="1064" t="s">
        <v>370</v>
      </c>
      <c r="J5" s="1065"/>
      <c r="K5" s="1064" t="s">
        <v>371</v>
      </c>
      <c r="L5" s="1065"/>
      <c r="M5" s="1064" t="s">
        <v>372</v>
      </c>
      <c r="N5" s="1065"/>
      <c r="O5" s="1064" t="s">
        <v>373</v>
      </c>
      <c r="P5" s="1065"/>
      <c r="Q5" s="1064" t="s">
        <v>503</v>
      </c>
      <c r="R5" s="1065"/>
      <c r="S5" s="1064" t="s">
        <v>572</v>
      </c>
      <c r="T5" s="1065"/>
      <c r="U5" s="1070"/>
      <c r="V5" s="1071"/>
    </row>
    <row r="6" spans="1:22" ht="12" thickBot="1">
      <c r="A6" s="864" t="s">
        <v>533</v>
      </c>
      <c r="B6" s="87"/>
      <c r="C6" s="649" t="s">
        <v>74</v>
      </c>
      <c r="D6" s="650" t="s">
        <v>75</v>
      </c>
      <c r="E6" s="649" t="s">
        <v>74</v>
      </c>
      <c r="F6" s="650" t="s">
        <v>75</v>
      </c>
      <c r="G6" s="649" t="s">
        <v>74</v>
      </c>
      <c r="H6" s="650" t="s">
        <v>75</v>
      </c>
      <c r="I6" s="649" t="s">
        <v>74</v>
      </c>
      <c r="J6" s="650" t="s">
        <v>75</v>
      </c>
      <c r="K6" s="649" t="s">
        <v>74</v>
      </c>
      <c r="L6" s="650" t="s">
        <v>75</v>
      </c>
      <c r="M6" s="649" t="s">
        <v>74</v>
      </c>
      <c r="N6" s="650" t="s">
        <v>75</v>
      </c>
      <c r="O6" s="649" t="s">
        <v>74</v>
      </c>
      <c r="P6" s="650" t="s">
        <v>75</v>
      </c>
      <c r="Q6" s="649" t="s">
        <v>74</v>
      </c>
      <c r="R6" s="650" t="s">
        <v>75</v>
      </c>
      <c r="S6" s="649" t="s">
        <v>74</v>
      </c>
      <c r="T6" s="650" t="s">
        <v>75</v>
      </c>
      <c r="U6" s="649" t="s">
        <v>74</v>
      </c>
      <c r="V6" s="651" t="s">
        <v>75</v>
      </c>
    </row>
    <row r="7" spans="1:23" ht="12" customHeight="1" thickTop="1">
      <c r="A7" s="24" t="str">
        <f>'t1'!A6</f>
        <v>PERSONALE DIRIGENTE</v>
      </c>
      <c r="B7" s="234" t="str">
        <f>'t1'!B6</f>
        <v>0D00NF</v>
      </c>
      <c r="C7" s="701"/>
      <c r="D7" s="702"/>
      <c r="E7" s="701"/>
      <c r="F7" s="703"/>
      <c r="G7" s="701"/>
      <c r="H7" s="703"/>
      <c r="I7" s="701"/>
      <c r="J7" s="702"/>
      <c r="K7" s="703"/>
      <c r="L7" s="702"/>
      <c r="M7" s="703"/>
      <c r="N7" s="702"/>
      <c r="O7" s="704"/>
      <c r="P7" s="705"/>
      <c r="Q7" s="797"/>
      <c r="R7" s="798"/>
      <c r="S7" s="799"/>
      <c r="T7" s="798"/>
      <c r="U7" s="437">
        <f aca="true" t="shared" si="0" ref="U7:V9">SUM(C7,E7,G7,I7,K7,M7,O7,Q7,S7)</f>
        <v>0</v>
      </c>
      <c r="V7" s="438">
        <f t="shared" si="0"/>
        <v>0</v>
      </c>
      <c r="W7" s="80">
        <f>'t1'!M6</f>
        <v>0</v>
      </c>
    </row>
    <row r="8" spans="1:23" ht="12" customHeight="1">
      <c r="A8" s="156" t="str">
        <f>'t1'!A7</f>
        <v>PERSONALE NON DIRIGENTE</v>
      </c>
      <c r="B8" s="227" t="str">
        <f>'t1'!B7</f>
        <v>0000ND</v>
      </c>
      <c r="C8" s="706"/>
      <c r="D8" s="707"/>
      <c r="E8" s="706"/>
      <c r="F8" s="708"/>
      <c r="G8" s="706"/>
      <c r="H8" s="708"/>
      <c r="I8" s="706"/>
      <c r="J8" s="707"/>
      <c r="K8" s="708"/>
      <c r="L8" s="707"/>
      <c r="M8" s="708"/>
      <c r="N8" s="707"/>
      <c r="O8" s="709"/>
      <c r="P8" s="710"/>
      <c r="Q8" s="800"/>
      <c r="R8" s="801"/>
      <c r="S8" s="802"/>
      <c r="T8" s="801"/>
      <c r="U8" s="437">
        <f t="shared" si="0"/>
        <v>0</v>
      </c>
      <c r="V8" s="438">
        <f t="shared" si="0"/>
        <v>0</v>
      </c>
      <c r="W8" s="80">
        <f>'t1'!M7</f>
        <v>0</v>
      </c>
    </row>
    <row r="9" spans="1:23" ht="12" customHeight="1" thickBot="1">
      <c r="A9" s="156" t="str">
        <f>'t1'!A8</f>
        <v>CONTRATTISTI (a)</v>
      </c>
      <c r="B9" s="227" t="str">
        <f>'t1'!B8</f>
        <v>000061</v>
      </c>
      <c r="C9" s="706"/>
      <c r="D9" s="707"/>
      <c r="E9" s="706"/>
      <c r="F9" s="708"/>
      <c r="G9" s="706"/>
      <c r="H9" s="708"/>
      <c r="I9" s="706"/>
      <c r="J9" s="707"/>
      <c r="K9" s="708"/>
      <c r="L9" s="707"/>
      <c r="M9" s="708"/>
      <c r="N9" s="707"/>
      <c r="O9" s="709"/>
      <c r="P9" s="710"/>
      <c r="Q9" s="800"/>
      <c r="R9" s="801"/>
      <c r="S9" s="802"/>
      <c r="T9" s="801"/>
      <c r="U9" s="437">
        <f t="shared" si="0"/>
        <v>0</v>
      </c>
      <c r="V9" s="438">
        <f t="shared" si="0"/>
        <v>0</v>
      </c>
      <c r="W9" s="80">
        <f>'t1'!M8</f>
        <v>0</v>
      </c>
    </row>
    <row r="10" spans="1:22" ht="12.75" customHeight="1" thickBot="1" thickTop="1">
      <c r="A10" s="88" t="s">
        <v>76</v>
      </c>
      <c r="B10" s="89"/>
      <c r="C10" s="439">
        <f aca="true" t="shared" si="1" ref="C10:V10">SUM(C7:C9)</f>
        <v>0</v>
      </c>
      <c r="D10" s="441">
        <f t="shared" si="1"/>
        <v>0</v>
      </c>
      <c r="E10" s="537">
        <f t="shared" si="1"/>
        <v>0</v>
      </c>
      <c r="F10" s="441">
        <f t="shared" si="1"/>
        <v>0</v>
      </c>
      <c r="G10" s="537">
        <f t="shared" si="1"/>
        <v>0</v>
      </c>
      <c r="H10" s="441">
        <f t="shared" si="1"/>
        <v>0</v>
      </c>
      <c r="I10" s="537">
        <f t="shared" si="1"/>
        <v>0</v>
      </c>
      <c r="J10" s="441">
        <f t="shared" si="1"/>
        <v>0</v>
      </c>
      <c r="K10" s="537">
        <f t="shared" si="1"/>
        <v>0</v>
      </c>
      <c r="L10" s="441">
        <f t="shared" si="1"/>
        <v>0</v>
      </c>
      <c r="M10" s="537">
        <f t="shared" si="1"/>
        <v>0</v>
      </c>
      <c r="N10" s="441">
        <f t="shared" si="1"/>
        <v>0</v>
      </c>
      <c r="O10" s="537">
        <f t="shared" si="1"/>
        <v>0</v>
      </c>
      <c r="P10" s="441">
        <f t="shared" si="1"/>
        <v>0</v>
      </c>
      <c r="Q10" s="803">
        <f>SUM(Q7:Q9)</f>
        <v>0</v>
      </c>
      <c r="R10" s="804">
        <f>SUM(R7:R9)</f>
        <v>0</v>
      </c>
      <c r="S10" s="803">
        <f>SUM(S7:S9)</f>
        <v>0</v>
      </c>
      <c r="T10" s="804">
        <f>SUM(T7:T9)</f>
        <v>0</v>
      </c>
      <c r="U10" s="439">
        <f t="shared" si="1"/>
        <v>0</v>
      </c>
      <c r="V10" s="440">
        <f t="shared" si="1"/>
        <v>0</v>
      </c>
    </row>
    <row r="12" spans="1:20" ht="9.75" customHeight="1">
      <c r="A12" s="25" t="str">
        <f>'t1'!$A$10</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c r="O12" s="5"/>
      <c r="P12" s="5"/>
      <c r="Q12" s="5"/>
      <c r="R12" s="5"/>
      <c r="S12" s="5"/>
      <c r="T12" s="5"/>
    </row>
    <row r="13" ht="11.25">
      <c r="A13" s="80" t="s">
        <v>155</v>
      </c>
    </row>
  </sheetData>
  <sheetProtection password="EA98" sheet="1" formatColumns="0" selectLockedCells="1"/>
  <mergeCells count="22">
    <mergeCell ref="M4:N4"/>
    <mergeCell ref="K4:L4"/>
    <mergeCell ref="C5:D5"/>
    <mergeCell ref="U5:V5"/>
    <mergeCell ref="G5:H5"/>
    <mergeCell ref="I5:J5"/>
    <mergeCell ref="U4:V4"/>
    <mergeCell ref="I4:J4"/>
    <mergeCell ref="S4:T4"/>
    <mergeCell ref="S5:T5"/>
    <mergeCell ref="Q4:R4"/>
    <mergeCell ref="O5:P5"/>
    <mergeCell ref="Q5:R5"/>
    <mergeCell ref="E5:F5"/>
    <mergeCell ref="O4:P4"/>
    <mergeCell ref="K5:L5"/>
    <mergeCell ref="M5:N5"/>
    <mergeCell ref="A1:P1"/>
    <mergeCell ref="G4:H4"/>
    <mergeCell ref="C4:D4"/>
    <mergeCell ref="E4:F4"/>
    <mergeCell ref="J2:V2"/>
  </mergeCells>
  <conditionalFormatting sqref="A7:R9 U7:V9">
    <cfRule type="expression" priority="2" dxfId="3" stopIfTrue="1">
      <formula>$W7&gt;0</formula>
    </cfRule>
  </conditionalFormatting>
  <conditionalFormatting sqref="S7:T9">
    <cfRule type="expression" priority="1" dxfId="3"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2016-05-19T09:35:51Z</cp:lastPrinted>
  <dcterms:created xsi:type="dcterms:W3CDTF">1998-10-29T14:18:41Z</dcterms:created>
  <dcterms:modified xsi:type="dcterms:W3CDTF">2020-10-09T13:20:44Z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