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bella Riconciliazione" sheetId="15" r:id="rId15"/>
    <sheet name="Valori Medi" sheetId="16" r:id="rId16"/>
    <sheet name="Squadratura 1" sheetId="17" r:id="rId17"/>
    <sheet name="Squadratura 2" sheetId="18" r:id="rId18"/>
    <sheet name="Squadratura 3" sheetId="19" r:id="rId19"/>
    <sheet name="Squadratura 4" sheetId="20" r:id="rId20"/>
    <sheet name="Incongruenze 1 e 11" sheetId="21" r:id="rId21"/>
    <sheet name="Incongruenza 2" sheetId="22" r:id="rId22"/>
    <sheet name="Incongruenze 3, 12 e 13" sheetId="23" r:id="rId23"/>
    <sheet name="Incongruenza 4 e controlli t14" sheetId="24" r:id="rId24"/>
    <sheet name="Incongruenza 5" sheetId="25" r:id="rId25"/>
    <sheet name="Incongruenza 6" sheetId="26" r:id="rId26"/>
    <sheet name="Incongruenza 7" sheetId="27" r:id="rId27"/>
    <sheet name="Incongruenza 8" sheetId="28" r:id="rId28"/>
    <sheet name="Incongruenza 14" sheetId="29" r:id="rId29"/>
  </sheets>
  <externalReferences>
    <externalReference r:id="rId32"/>
    <externalReference r:id="rId33"/>
  </externalReferences>
  <definedNames>
    <definedName name="_xlfn.BAHTTEXT" hidden="1">#NAME?</definedName>
    <definedName name="_xlfn.SINGLE" hidden="1">#NAME?</definedName>
    <definedName name="_xlnm.Print_Area" localSheetId="20">'Incongruenze 1 e 11'!$A$1:$E$21</definedName>
    <definedName name="_xlnm.Print_Area" localSheetId="22">'Incongruenze 3, 12 e 13'!$A$1:$D$14</definedName>
    <definedName name="_xlnm.Print_Area" localSheetId="0">'SI_1'!$A$1:$H$221</definedName>
    <definedName name="_xlnm.Print_Area" localSheetId="16">'Squadratura 1'!$A$1:$J$14</definedName>
    <definedName name="_xlnm.Print_Area" localSheetId="17">'Squadratura 2'!$A$1:$L$15</definedName>
    <definedName name="_xlnm.Print_Area" localSheetId="18">'Squadratura 3'!$A$1:$Z$16</definedName>
    <definedName name="_xlnm.Print_Area" localSheetId="19">'Squadratura 4'!$A$1:$I$14</definedName>
    <definedName name="_xlnm.Print_Area" localSheetId="1">'t1'!$A$1:$AK$16</definedName>
    <definedName name="_xlnm.Print_Area" localSheetId="9">'t10'!$A$1:$AV$16</definedName>
    <definedName name="_xlnm.Print_Area" localSheetId="10">'t11'!$A$1:$AV$16</definedName>
    <definedName name="_xlnm.Print_Area" localSheetId="11">'t12'!$A$1:$AJ$18</definedName>
    <definedName name="_xlnm.Print_Area" localSheetId="12">'t13'!$A$1:$AP$17</definedName>
    <definedName name="_xlnm.Print_Area" localSheetId="13">'t14'!$A$1:$D$34</definedName>
    <definedName name="_xlnm.Print_Area" localSheetId="2">'t3'!$A$1:$P$19</definedName>
    <definedName name="_xlnm.Print_Area" localSheetId="3">'t4'!$A$1:$K$16</definedName>
    <definedName name="_xlnm.Print_Area" localSheetId="4">'t5'!$A$1:$V$18</definedName>
    <definedName name="_xlnm.Print_Area" localSheetId="6">'t7'!$A$1:$X$16</definedName>
    <definedName name="_xlnm.Print_Area" localSheetId="7">'t8'!$A$1:$AB$17</definedName>
    <definedName name="_xlnm.Print_Area" localSheetId="8">'t9'!$A$1:$P$16</definedName>
    <definedName name="_xlnm.Print_Area" localSheetId="15">'Valori Medi'!$A$1:$T$16</definedName>
    <definedName name="CODI_ISTITUZIONE">#REF!</definedName>
    <definedName name="CODI_ISTITUZIONE2" localSheetId="28">#REF!</definedName>
    <definedName name="CODI_ISTITUZIONE2" localSheetId="27">#REF!</definedName>
    <definedName name="CODI_ISTITUZIONE2" localSheetId="22">#REF!</definedName>
    <definedName name="CODI_ISTITUZIONE2">#REF!</definedName>
    <definedName name="DESC_ISTITUZIONE">#REF!</definedName>
    <definedName name="DESC_ISTITUZIONE2" localSheetId="28">#REF!</definedName>
    <definedName name="DESC_ISTITUZIONE2" localSheetId="27">#REF!</definedName>
    <definedName name="DESC_ISTITUZIONE2" localSheetId="22">#REF!</definedName>
    <definedName name="DESC_ISTITUZIONE2">#REF!</definedName>
    <definedName name="_xlnm.Print_Titles" localSheetId="21">'Incongruenza 2'!$1:$5</definedName>
    <definedName name="_xlnm.Print_Titles" localSheetId="24">'Incongruenza 5'!$1:$5</definedName>
    <definedName name="_xlnm.Print_Titles" localSheetId="25">'Incongruenza 6'!$1:$5</definedName>
    <definedName name="_xlnm.Print_Titles" localSheetId="26">'Incongruenza 7'!$1:$4</definedName>
    <definedName name="_xlnm.Print_Titles" localSheetId="27">'Incongruenza 8'!$1:$5</definedName>
    <definedName name="_xlnm.Print_Titles" localSheetId="20">'Incongruenze 1 e 11'!$4:$4</definedName>
    <definedName name="_xlnm.Print_Titles" localSheetId="22">'Incongruenze 3, 12 e 13'!$4:$4</definedName>
    <definedName name="_xlnm.Print_Titles" localSheetId="16">'Squadratura 1'!$1:$5</definedName>
    <definedName name="_xlnm.Print_Titles" localSheetId="17">'Squadratura 2'!$1:$6</definedName>
    <definedName name="_xlnm.Print_Titles" localSheetId="18">'Squadratura 3'!$A:$B,'Squadratura 3'!$1:$7</definedName>
    <definedName name="_xlnm.Print_Titles" localSheetId="19">'Squadratura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5">'Valori Medi'!$A:$E,'Valori Medi'!$1:$5</definedName>
  </definedNames>
  <calcPr fullCalcOnLoad="1" fullPrecision="0"/>
</workbook>
</file>

<file path=xl/sharedStrings.xml><?xml version="1.0" encoding="utf-8"?>
<sst xmlns="http://schemas.openxmlformats.org/spreadsheetml/2006/main" count="1130" uniqueCount="532">
  <si>
    <t>CONTRATTI PER RESA SERVIZI/ADEMPIMENTI OBBLIGATORI PER LEGGE</t>
  </si>
  <si>
    <t>L115</t>
  </si>
  <si>
    <t>j=(a+b+c+d-e-f-g-h-i)</t>
  </si>
  <si>
    <t>k</t>
  </si>
  <si>
    <t>j=k</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</si>
  <si>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</si>
  <si>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</si>
  <si>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</si>
  <si>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</si>
  <si>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</si>
  <si>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</si>
  <si>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</si>
  <si>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</si>
  <si>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</si>
  <si>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</si>
  <si>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</si>
  <si>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</si>
  <si>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</si>
  <si>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</si>
  <si>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</si>
  <si>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</si>
  <si>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</si>
  <si>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</si>
  <si>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</si>
  <si>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</si>
  <si>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</si>
  <si>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</si>
  <si>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</si>
  <si>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</si>
  <si>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</si>
  <si>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</si>
  <si>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</si>
  <si>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</si>
  <si>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</si>
  <si>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</si>
  <si>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</si>
  <si>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</si>
  <si>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</si>
  <si>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</si>
  <si>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</si>
  <si>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</si>
  <si>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</si>
  <si>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</si>
  <si>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</si>
  <si>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</si>
  <si>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</si>
  <si>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</si>
  <si>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</si>
  <si>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</si>
  <si>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</si>
  <si>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</si>
  <si>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</si>
  <si>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</si>
  <si>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</si>
  <si>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</si>
  <si>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</si>
  <si>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</si>
  <si>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</si>
  <si>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</si>
  <si>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</si>
  <si>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</si>
  <si>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</si>
  <si>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</si>
  <si>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</si>
  <si>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</si>
  <si>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</si>
  <si>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</si>
  <si>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</si>
  <si>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</si>
  <si>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</si>
  <si>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</si>
  <si>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</si>
  <si>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</si>
  <si>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</si>
  <si>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</si>
  <si>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</si>
  <si>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</si>
  <si>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</si>
  <si>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</si>
  <si>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</si>
  <si>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</si>
  <si>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</si>
  <si>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</si>
  <si>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</si>
  <si>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</si>
  <si>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</si>
  <si>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</si>
  <si>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</si>
  <si>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</si>
  <si>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</si>
  <si>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</si>
  <si>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</si>
  <si>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</si>
  <si>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</si>
  <si>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</si>
  <si>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</si>
  <si>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</si>
  <si>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</si>
  <si>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</si>
  <si>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</si>
  <si>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</si>
  <si>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</si>
  <si>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</si>
  <si>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</si>
  <si>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</si>
  <si>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</si>
  <si>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</si>
  <si>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</si>
  <si>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</si>
  <si>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</si>
  <si>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</si>
  <si>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</si>
  <si>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</si>
  <si>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</si>
  <si>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</si>
  <si>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</si>
  <si>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</si>
  <si>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</si>
  <si>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</si>
  <si>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</si>
  <si>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</si>
  <si>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</si>
  <si>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</si>
  <si>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</si>
  <si>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</si>
  <si>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</si>
  <si>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</si>
  <si>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</si>
  <si>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</si>
  <si>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</si>
  <si>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</si>
  <si>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</si>
  <si>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</si>
  <si>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</si>
  <si>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</si>
  <si>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</si>
  <si>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</si>
  <si>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</si>
  <si>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</si>
  <si>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</si>
  <si>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</si>
  <si>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</si>
  <si>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</si>
  <si>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</si>
  <si>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</si>
  <si>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</si>
  <si>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</si>
  <si>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</si>
  <si>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</si>
  <si>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</si>
  <si>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</si>
  <si>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</si>
  <si>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</si>
  <si>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</si>
  <si>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</si>
  <si>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</si>
  <si>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</si>
  <si>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</si>
  <si>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</si>
  <si>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</si>
  <si>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</si>
  <si>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</si>
  <si>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</si>
  <si>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</si>
  <si>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</si>
  <si>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</si>
  <si>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</si>
  <si>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</si>
  <si>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</si>
  <si>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</si>
  <si>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</si>
  <si>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</si>
  <si>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</si>
  <si>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</si>
  <si>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</si>
  <si>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</si>
  <si>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</si>
  <si>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</si>
  <si>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</si>
  <si>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</si>
  <si>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</si>
  <si>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</si>
  <si>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</si>
  <si>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</si>
  <si>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</si>
  <si>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</si>
  <si>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</si>
  <si>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</si>
  <si>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</si>
  <si>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</si>
  <si>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</si>
  <si>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</si>
  <si>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</si>
  <si>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</si>
  <si>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</si>
  <si>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</si>
  <si>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</si>
  <si>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</si>
  <si>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</si>
  <si>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</si>
  <si>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</si>
  <si>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</si>
  <si>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</si>
  <si>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</si>
  <si>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</si>
  <si>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</si>
  <si>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</si>
  <si>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</si>
  <si>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</si>
  <si>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</si>
  <si>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</si>
  <si>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</si>
  <si>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</si>
  <si>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</si>
  <si>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</si>
  <si>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</si>
  <si>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</si>
  <si>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</si>
  <si>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</si>
  <si>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</si>
  <si>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</si>
  <si>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</si>
  <si>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</si>
  <si>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</si>
  <si>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</si>
  <si>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</si>
  <si>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</si>
  <si>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</si>
  <si>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</si>
  <si>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</si>
  <si>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</si>
  <si>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</si>
  <si>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</si>
  <si>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</si>
  <si>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</si>
  <si>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</si>
  <si>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</si>
  <si>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</si>
  <si>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</si>
  <si>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</si>
  <si>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</si>
  <si>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</si>
  <si>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</si>
  <si>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</si>
  <si>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</si>
  <si>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</si>
  <si>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</si>
  <si>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</si>
  <si>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</si>
  <si>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</si>
  <si>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</si>
  <si>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</si>
  <si>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</si>
  <si>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</si>
  <si>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</si>
  <si>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</si>
  <si>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</si>
  <si>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</si>
  <si>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</si>
  <si>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</si>
  <si>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</si>
  <si>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</si>
  <si>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</si>
  <si>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</si>
  <si>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</si>
  <si>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</si>
  <si>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</si>
  <si>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</si>
  <si>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</si>
  <si>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</si>
  <si>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</si>
  <si>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</si>
  <si>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</si>
  <si>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</si>
  <si>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</si>
  <si>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</si>
  <si>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</si>
  <si>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</si>
  <si>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</si>
  <si>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</si>
  <si>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</si>
  <si>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</si>
  <si>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</si>
  <si>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</si>
  <si>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</si>
  <si>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</si>
  <si>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valore</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</si>
  <si>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</si>
  <si>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</si>
  <si>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</si>
  <si>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</si>
  <si>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</si>
  <si>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</si>
  <si>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</si>
  <si>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</si>
  <si>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</si>
  <si>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</si>
  <si>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</si>
  <si>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</si>
  <si>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</si>
  <si>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</si>
  <si>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</si>
  <si>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</si>
  <si>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</si>
  <si>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</si>
  <si>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</si>
  <si>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</si>
  <si>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</si>
  <si>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</si>
  <si>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</si>
  <si>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</si>
  <si>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</si>
  <si>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</si>
  <si>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</si>
  <si>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</si>
  <si>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</si>
  <si>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</si>
  <si>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</si>
  <si>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</si>
  <si>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</si>
  <si>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</si>
  <si>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</si>
  <si>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</si>
  <si>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</si>
  <si>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</si>
  <si>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</si>
  <si>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</si>
  <si>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</si>
  <si>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</si>
  <si>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</si>
  <si>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</si>
  <si>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</si>
  <si>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</si>
  <si>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</si>
  <si>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</si>
  <si>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</si>
  <si>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</si>
  <si>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</si>
  <si>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</si>
  <si>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</si>
  <si>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controllo DOT. ORG.</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</si>
  <si>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</si>
  <si>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</si>
  <si>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</si>
  <si>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</si>
  <si>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</si>
  <si>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</si>
  <si>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</si>
  <si>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</si>
  <si>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</si>
  <si>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</si>
  <si>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</si>
  <si>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</si>
  <si>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</si>
  <si>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</si>
  <si>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</si>
  <si>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</si>
  <si>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</si>
  <si>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</si>
  <si>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</si>
  <si>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</si>
  <si>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</si>
  <si>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</si>
  <si>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</si>
  <si>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</si>
  <si>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</si>
  <si>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</si>
  <si>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</si>
  <si>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</si>
  <si>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</si>
  <si>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</si>
  <si>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</si>
  <si>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</si>
  <si>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</si>
  <si>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</si>
  <si>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</si>
  <si>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</si>
  <si>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</si>
  <si>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</si>
  <si>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</si>
  <si>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</si>
  <si>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</si>
  <si>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</si>
  <si>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</si>
  <si>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</si>
  <si>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</si>
  <si>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</si>
  <si>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</si>
  <si>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</si>
  <si>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</si>
  <si>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T12 non compilata o assenze comunicate &gt; gg lavorabili (</t>
  </si>
  <si>
    <t>ASSEGNO MAGISTRATI</t>
  </si>
  <si>
    <t>I128</t>
  </si>
  <si>
    <t>IND.SECONDA LINGUA</t>
  </si>
  <si>
    <t>I402</t>
  </si>
  <si>
    <t>IND. PROV. DA PROVV. SPECIFICI</t>
  </si>
  <si>
    <t>I517</t>
  </si>
  <si>
    <t>AVVOCATO GENERALE</t>
  </si>
  <si>
    <t>0D0381</t>
  </si>
  <si>
    <t>AVVOCATO GENERALE AGGIUNTO</t>
  </si>
  <si>
    <t>0D0845</t>
  </si>
  <si>
    <t>AVVOCATO IV CLASSE</t>
  </si>
  <si>
    <t>0D0380</t>
  </si>
  <si>
    <t>AVVOCATO III CLASSE</t>
  </si>
  <si>
    <t>0D0379</t>
  </si>
  <si>
    <t>AVVOCATO II CLASSE ED EQUIP.</t>
  </si>
  <si>
    <t>0D0A2E</t>
  </si>
  <si>
    <t>AVVOCATO I CLASSE ED EQUIP.</t>
  </si>
  <si>
    <t>0D0A1E</t>
  </si>
  <si>
    <t>PROCURATORE II CLASSE</t>
  </si>
  <si>
    <t>0D0383</t>
  </si>
  <si>
    <t>PROCURATORE I CLASSE</t>
  </si>
  <si>
    <t>0D0382</t>
  </si>
  <si>
    <t>AVST</t>
  </si>
  <si>
    <t>Unità annue 
(SI_1)</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</si>
  <si>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</si>
  <si>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</si>
  <si>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</si>
  <si>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</si>
  <si>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INDENNITA' ART.42, COMMA 5, D.LGS. 151/2001</t>
  </si>
  <si>
    <t>COMPETENZE PERSONALE COMANDATO /DISTACCATO PRESSO L'AMM.NE</t>
  </si>
  <si>
    <t>I424</t>
  </si>
  <si>
    <t>S761</t>
  </si>
  <si>
    <t>TOTALE del personale da distribuire</t>
  </si>
  <si>
    <t>Domande SI_1</t>
  </si>
  <si>
    <t>Unità annue
dichiarate in SI_1</t>
  </si>
  <si>
    <t>Totale presenti al
31-12 dichiarati in T1</t>
  </si>
  <si>
    <t>Controllo</t>
  </si>
  <si>
    <t>Assenze dichiarate</t>
  </si>
  <si>
    <t xml:space="preserve">Compresenza </t>
  </si>
  <si>
    <t>REFERENTE DA CONTATTARE</t>
  </si>
  <si>
    <t>VOCI DI SPESA RILEVATE</t>
  </si>
  <si>
    <t>IMPORTO SICO</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</si>
  <si>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</si>
  <si>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</si>
  <si>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</si>
  <si>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</si>
  <si>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</si>
  <si>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</si>
  <si>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</si>
  <si>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</si>
  <si>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</si>
  <si>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</si>
  <si>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</si>
  <si>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</si>
  <si>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</si>
  <si>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</si>
  <si>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</si>
  <si>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IMPORTO BILANCIO (*)</t>
  </si>
  <si>
    <t>TRC</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</si>
  <si>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</si>
  <si>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</si>
  <si>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</si>
  <si>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</si>
  <si>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</si>
  <si>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</si>
  <si>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</si>
  <si>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COMPENSI PER PERSONALE ADDETTO A LAVORI SOCIALMENTE UTILI</t>
  </si>
  <si>
    <t>C21</t>
  </si>
  <si>
    <t>A35</t>
  </si>
  <si>
    <t>Si</t>
  </si>
  <si>
    <t>No</t>
  </si>
  <si>
    <r>
      <rPr>
        <b/>
        <sz val="7"/>
        <rFont val="Helv"/>
        <family val="0"/>
      </rPr>
      <t>IRAP</t>
    </r>
    <r>
      <rPr>
        <sz val="7"/>
        <rFont val="Helv"/>
        <family val="0"/>
      </rPr>
      <t xml:space="preserve">
</t>
    </r>
    <r>
      <rPr>
        <b/>
        <sz val="7"/>
        <rFont val="Helv"/>
        <family val="0"/>
      </rPr>
      <t>Commerciale</t>
    </r>
  </si>
  <si>
    <t>CONTRIBUTI A CARICO DELL'AMM.NE PER FONDI PREV. COMPLEMENTARE</t>
  </si>
  <si>
    <t>P035</t>
  </si>
  <si>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</si>
  <si>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</si>
  <si>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</si>
  <si>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</si>
  <si>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</si>
  <si>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</si>
  <si>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COMPENSI PER PERSONALE LSU/LPU</t>
  </si>
  <si>
    <t>Personale stabilizzato da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</si>
  <si>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</si>
  <si>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</si>
  <si>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</si>
  <si>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</si>
  <si>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</si>
  <si>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quelle valorizzate nella T1)</t>
  </si>
  <si>
    <t>Risoluz. rapporto di lavoro</t>
  </si>
  <si>
    <t>Somme
dichiarate in SI_1</t>
  </si>
  <si>
    <t>ASSEGNO AD PERSONAM</t>
  </si>
  <si>
    <t>I418</t>
  </si>
  <si>
    <t xml:space="preserve"> Incongruenza 1</t>
  </si>
  <si>
    <t>Tavola di compresenza tra valori di organico di personale con rapporto di lavoro flessibile di Scheda Informativa 1 e relativa spesa di Tabella 14</t>
  </si>
  <si>
    <t>Tipologia lavoro flessibile (SI_1)</t>
  </si>
  <si>
    <t xml:space="preserve"> Incongruenza 11</t>
  </si>
  <si>
    <t>Tavola di compresenza tra valori di organico di personale con rapporto di lavoro flessibile di Tabella 2 e relativa spesa di Tabella 14</t>
  </si>
  <si>
    <t>Tipologia lavoro flessibile (Tab 2)</t>
  </si>
  <si>
    <t>Unità annue 
(Tab 2)</t>
  </si>
  <si>
    <t>ok</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</si>
  <si>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</si>
  <si>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</si>
  <si>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</si>
  <si>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</si>
  <si>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</si>
  <si>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</si>
  <si>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</si>
  <si>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</si>
  <si>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</si>
  <si>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</si>
  <si>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</si>
  <si>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IN11</t>
  </si>
  <si>
    <t>IN12</t>
  </si>
  <si>
    <t>IN13</t>
  </si>
  <si>
    <t>IN14</t>
  </si>
  <si>
    <t>PERSONALE IN ASPETTATIVA</t>
  </si>
  <si>
    <t>R.I.A.</t>
  </si>
  <si>
    <t>PROGRESSIONE PER CLASSI E SCATTI/FASCE RETRIBUTIVE</t>
  </si>
  <si>
    <t>A031</t>
  </si>
  <si>
    <t>A032</t>
  </si>
  <si>
    <t>STIPENDIO 
più I.I.S</t>
  </si>
  <si>
    <t>Personale in aspettativa (OUT)
(Tab 3)</t>
  </si>
  <si>
    <t>A41</t>
  </si>
  <si>
    <t>Personale assunto con procedure art. 20 D.Lgs.75/2017</t>
  </si>
  <si>
    <t>Personale assunto con procedure Art. 35, c.3-Bis, DLGS 165/01</t>
  </si>
  <si>
    <t>Licenziamenti disposti dall’ente</t>
  </si>
  <si>
    <t>no</t>
  </si>
  <si>
    <t>si</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</si>
  <si>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</si>
  <si>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</si>
  <si>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</si>
  <si>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</si>
  <si>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IN 17</t>
  </si>
  <si>
    <t>Vincitori altro concorso pubblico</t>
  </si>
  <si>
    <t>C27</t>
  </si>
  <si>
    <t>CONGEDI PARENTALI 
COVID-19</t>
  </si>
  <si>
    <t>PR7</t>
  </si>
  <si>
    <t xml:space="preserve">Indicare il numero di dioendenti posti in esenzione dal servizio per emergenza COVID-19 </t>
  </si>
  <si>
    <t>numero giorni</t>
  </si>
  <si>
    <t xml:space="preserve">Indicare il numero dei giorni concessi ai dipendenti posti in esenzione dal servizio per emergenza COVID-19 </t>
  </si>
  <si>
    <t>Dimissioni con diritto a pensione</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</si>
</sst>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 numFmtId="217" formatCode="#,##0.0000"/>
  </numFmts>
  <fonts count="122">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b/>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sz val="9"/>
      <name val="Helv"/>
      <family val="0"/>
    </font>
    <font>
      <u val="single"/>
      <sz val="10"/>
      <color indexed="12"/>
      <name val="Arial"/>
      <family val="2"/>
    </font>
    <font>
      <sz val="7"/>
      <name val="Helv"/>
      <family val="0"/>
    </font>
    <font>
      <b/>
      <sz val="7"/>
      <name val="Helv"/>
      <family val="0"/>
    </font>
    <font>
      <b/>
      <sz val="14"/>
      <name val="Arial"/>
      <family val="2"/>
    </font>
    <font>
      <sz val="2.25"/>
      <color indexed="8"/>
      <name val="Arial"/>
      <family val="0"/>
    </font>
    <font>
      <b/>
      <sz val="8"/>
      <color indexed="8"/>
      <name val="Arial"/>
      <family val="0"/>
    </font>
    <font>
      <sz val="2.75"/>
      <color indexed="8"/>
      <name val="Arial"/>
      <family val="0"/>
    </font>
    <font>
      <b/>
      <sz val="8.75"/>
      <color indexed="8"/>
      <name val="Arial"/>
      <family val="0"/>
    </font>
    <font>
      <sz val="12"/>
      <color indexed="8"/>
      <name val="Times New Roman"/>
      <family val="2"/>
    </font>
    <font>
      <sz val="11"/>
      <color indexed="8"/>
      <name val="Calibri"/>
      <family val="2"/>
    </font>
    <font>
      <b/>
      <sz val="8"/>
      <color indexed="10"/>
      <name val="Helv"/>
      <family val="0"/>
    </font>
    <font>
      <b/>
      <sz val="12"/>
      <color indexed="9"/>
      <name val="Arial"/>
      <family val="2"/>
    </font>
    <font>
      <sz val="8"/>
      <color indexed="9"/>
      <name val="Arial"/>
      <family val="2"/>
    </font>
    <font>
      <sz val="10"/>
      <color indexed="9"/>
      <name val="Courier"/>
      <family val="3"/>
    </font>
    <font>
      <sz val="10"/>
      <color indexed="9"/>
      <name val="Arial"/>
      <family val="2"/>
    </font>
    <font>
      <b/>
      <sz val="9"/>
      <color indexed="10"/>
      <name val="Arial"/>
      <family val="2"/>
    </font>
    <font>
      <b/>
      <sz val="10"/>
      <color indexed="10"/>
      <name val="Helv"/>
      <family val="0"/>
    </font>
    <font>
      <b/>
      <sz val="18"/>
      <color indexed="10"/>
      <name val="Times New Roman"/>
      <family val="1"/>
    </font>
    <font>
      <sz val="8"/>
      <color indexed="10"/>
      <name val="Helv"/>
      <family val="0"/>
    </font>
    <font>
      <sz val="8"/>
      <name val="Segoe UI"/>
      <family val="2"/>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0"/>
      <color theme="0"/>
      <name val="Courier"/>
      <family val="3"/>
    </font>
    <font>
      <sz val="8"/>
      <color theme="0"/>
      <name val="Helv"/>
      <family val="0"/>
    </font>
    <font>
      <sz val="10"/>
      <color theme="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s>
  <borders count="1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color indexed="63"/>
      </left>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medium"/>
      <right>
        <color indexed="63"/>
      </right>
      <top>
        <color indexed="63"/>
      </top>
      <bottom style="double"/>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double"/>
      <top style="medium"/>
      <bottom>
        <color indexed="63"/>
      </bottom>
    </border>
    <border>
      <left>
        <color indexed="63"/>
      </left>
      <right style="double"/>
      <top style="medium"/>
      <bottom>
        <color indexed="63"/>
      </botto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right/>
      <top style="thin"/>
      <bottom/>
    </border>
    <border>
      <left>
        <color indexed="63"/>
      </left>
      <right>
        <color indexed="63"/>
      </right>
      <top style="double"/>
      <bottom>
        <color indexed="63"/>
      </bottom>
    </border>
    <border>
      <left>
        <color indexed="63"/>
      </left>
      <right>
        <color indexed="63"/>
      </right>
      <top style="thin"/>
      <bottom style="thin"/>
    </border>
    <border>
      <left>
        <color indexed="63"/>
      </left>
      <right style="double"/>
      <top style="thin"/>
      <bottom>
        <color indexed="63"/>
      </bottom>
    </border>
    <border>
      <left>
        <color indexed="63"/>
      </left>
      <right style="double"/>
      <top style="double"/>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double"/>
      <right style="medium"/>
      <top style="double"/>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thin"/>
      <right style="medium"/>
      <top>
        <color indexed="63"/>
      </top>
      <bottom style="medium"/>
    </border>
    <border>
      <left>
        <color indexed="63"/>
      </left>
      <right>
        <color indexed="63"/>
      </right>
      <top style="thin"/>
      <bottom style="medium"/>
    </border>
    <border>
      <left style="thin"/>
      <right>
        <color indexed="63"/>
      </right>
      <top style="medium"/>
      <bottom style="thin"/>
    </border>
    <border>
      <left style="double"/>
      <right style="double"/>
      <top style="double"/>
      <bottom>
        <color indexed="63"/>
      </bottom>
    </border>
    <border>
      <left>
        <color indexed="63"/>
      </left>
      <right style="medium"/>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double"/>
      <top style="double"/>
      <bottom>
        <color indexed="63"/>
      </bottom>
    </border>
    <border>
      <left style="medium"/>
      <right style="double"/>
      <top>
        <color indexed="63"/>
      </top>
      <bottom style="double"/>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
      <left style="thin"/>
      <right>
        <color indexed="63"/>
      </right>
      <top style="medium"/>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5" fillId="16" borderId="1" applyNumberFormat="0" applyAlignment="0" applyProtection="0"/>
    <xf numFmtId="0" fontId="56" fillId="0" borderId="2" applyNumberFormat="0" applyFill="0" applyAlignment="0" applyProtection="0"/>
    <xf numFmtId="0" fontId="57"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1" borderId="0" applyNumberFormat="0" applyBorder="0" applyAlignment="0" applyProtection="0"/>
    <xf numFmtId="203" fontId="0" fillId="0" borderId="0" applyFont="0" applyFill="0" applyBorder="0" applyAlignment="0" applyProtection="0"/>
    <xf numFmtId="0" fontId="58" fillId="7" borderId="1" applyNumberFormat="0" applyAlignment="0" applyProtection="0"/>
    <xf numFmtId="0" fontId="108" fillId="0" borderId="0" applyNumberFormat="0" applyBorder="0" applyAlignment="0">
      <protection/>
    </xf>
    <xf numFmtId="40" fontId="4" fillId="0" borderId="0" applyFont="0" applyFill="0" applyBorder="0" applyAlignment="0" applyProtection="0"/>
    <xf numFmtId="41" fontId="48"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08" fillId="0" borderId="0">
      <alignment/>
      <protection/>
    </xf>
    <xf numFmtId="0" fontId="108" fillId="0" borderId="0">
      <alignment/>
      <protection/>
    </xf>
    <xf numFmtId="0" fontId="0" fillId="0" borderId="0">
      <alignment/>
      <protection/>
    </xf>
    <xf numFmtId="0" fontId="109" fillId="0" borderId="0">
      <alignment/>
      <protection/>
    </xf>
    <xf numFmtId="0" fontId="0" fillId="0" borderId="0">
      <alignment/>
      <protection/>
    </xf>
    <xf numFmtId="0" fontId="0" fillId="0" borderId="0">
      <alignment/>
      <protection/>
    </xf>
    <xf numFmtId="179" fontId="3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3" fillId="23" borderId="4" applyNumberFormat="0" applyFont="0" applyAlignment="0" applyProtection="0"/>
    <xf numFmtId="0" fontId="60"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 borderId="0" applyNumberFormat="0" applyBorder="0" applyAlignment="0" applyProtection="0"/>
    <xf numFmtId="0" fontId="69" fillId="4" borderId="0" applyNumberFormat="0" applyBorder="0" applyAlignment="0" applyProtection="0"/>
    <xf numFmtId="178" fontId="4" fillId="0" borderId="0" applyFont="0" applyFill="0" applyBorder="0" applyAlignment="0" applyProtection="0"/>
    <xf numFmtId="200" fontId="48" fillId="0" borderId="0" applyFont="0" applyFill="0" applyBorder="0" applyAlignment="0" applyProtection="0"/>
    <xf numFmtId="178" fontId="4" fillId="0" borderId="0" applyFont="0" applyFill="0" applyBorder="0" applyAlignment="0" applyProtection="0"/>
  </cellStyleXfs>
  <cellXfs count="1017">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0" xfId="68" applyFont="1" applyFill="1" applyBorder="1" applyAlignment="1" applyProtection="1">
      <alignment horizontal="center" vertical="center"/>
      <protection/>
    </xf>
    <xf numFmtId="0" fontId="9" fillId="0" borderId="21" xfId="68" applyFont="1" applyFill="1" applyBorder="1" applyAlignment="1" applyProtection="1">
      <alignment horizontal="center" vertical="center"/>
      <protection/>
    </xf>
    <xf numFmtId="0" fontId="9" fillId="0" borderId="22" xfId="68" applyFont="1" applyFill="1" applyBorder="1" applyAlignment="1" applyProtection="1">
      <alignment horizontal="right" vertical="center"/>
      <protection/>
    </xf>
    <xf numFmtId="0" fontId="6" fillId="0" borderId="0" xfId="68" applyFont="1" applyAlignment="1">
      <alignment horizontal="center"/>
      <protection/>
    </xf>
    <xf numFmtId="0" fontId="16" fillId="0" borderId="0" xfId="67">
      <alignment/>
      <protection/>
    </xf>
    <xf numFmtId="0" fontId="9" fillId="0" borderId="23" xfId="67" applyFont="1" applyFill="1" applyBorder="1" applyAlignment="1" applyProtection="1">
      <alignment horizontal="center" vertical="center"/>
      <protection/>
    </xf>
    <xf numFmtId="0" fontId="18" fillId="0" borderId="24" xfId="67" applyFont="1" applyFill="1" applyBorder="1" applyAlignment="1" applyProtection="1">
      <alignment horizontal="centerContinuous" vertical="center" wrapText="1"/>
      <protection/>
    </xf>
    <xf numFmtId="0" fontId="18" fillId="0" borderId="0" xfId="67" applyFont="1" applyFill="1" applyBorder="1" applyAlignment="1" applyProtection="1">
      <alignment horizontal="centerContinuous" vertical="center" wrapText="1"/>
      <protection/>
    </xf>
    <xf numFmtId="0" fontId="18" fillId="0" borderId="25" xfId="67" applyFont="1" applyFill="1" applyBorder="1" applyAlignment="1" applyProtection="1">
      <alignment horizontal="center" vertical="center" wrapText="1"/>
      <protection/>
    </xf>
    <xf numFmtId="0" fontId="18" fillId="0" borderId="25" xfId="67" applyFont="1" applyFill="1" applyBorder="1" applyAlignment="1" applyProtection="1">
      <alignment horizontal="centerContinuous" vertical="center" wrapText="1"/>
      <protection/>
    </xf>
    <xf numFmtId="0" fontId="9" fillId="0" borderId="22" xfId="67" applyFont="1" applyFill="1" applyBorder="1" applyAlignment="1" applyProtection="1">
      <alignment horizontal="right" vertical="center"/>
      <protection/>
    </xf>
    <xf numFmtId="0" fontId="6" fillId="0" borderId="26"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27" xfId="66" applyFont="1" applyFill="1" applyBorder="1" applyAlignment="1">
      <alignment horizontal="centerContinuous" vertical="center"/>
      <protection/>
    </xf>
    <xf numFmtId="0" fontId="9" fillId="0" borderId="21" xfId="66" applyFont="1" applyFill="1" applyBorder="1" applyAlignment="1" applyProtection="1">
      <alignment horizontal="center" vertical="center"/>
      <protection/>
    </xf>
    <xf numFmtId="0" fontId="6" fillId="0" borderId="28" xfId="66" applyFont="1" applyFill="1" applyBorder="1" applyAlignment="1">
      <alignment horizontal="center"/>
      <protection/>
    </xf>
    <xf numFmtId="0" fontId="19" fillId="0" borderId="29" xfId="66" applyFont="1" applyFill="1" applyBorder="1" applyAlignment="1" applyProtection="1">
      <alignment horizontal="center"/>
      <protection/>
    </xf>
    <xf numFmtId="0" fontId="19" fillId="0" borderId="30" xfId="66" applyFont="1" applyFill="1" applyBorder="1" applyAlignment="1" applyProtection="1">
      <alignment horizontal="center"/>
      <protection/>
    </xf>
    <xf numFmtId="0" fontId="19" fillId="0" borderId="31" xfId="66" applyFont="1" applyFill="1" applyBorder="1" applyAlignment="1" applyProtection="1">
      <alignment horizontal="center"/>
      <protection/>
    </xf>
    <xf numFmtId="0" fontId="9" fillId="0" borderId="22" xfId="66" applyFont="1" applyFill="1" applyBorder="1" applyAlignment="1" applyProtection="1">
      <alignment horizontal="right" vertical="center"/>
      <protection/>
    </xf>
    <xf numFmtId="0" fontId="6" fillId="0" borderId="26"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27" xfId="65" applyFont="1" applyFill="1" applyBorder="1" applyAlignment="1">
      <alignment horizontal="centerContinuous" vertical="center"/>
      <protection/>
    </xf>
    <xf numFmtId="0" fontId="9" fillId="0" borderId="21" xfId="65" applyFont="1" applyFill="1" applyBorder="1" applyAlignment="1" applyProtection="1">
      <alignment horizontal="center" vertical="center"/>
      <protection/>
    </xf>
    <xf numFmtId="0" fontId="9" fillId="0" borderId="32" xfId="65" applyFont="1" applyFill="1" applyBorder="1" applyAlignment="1" applyProtection="1">
      <alignment horizontal="centerContinuous" vertical="center"/>
      <protection/>
    </xf>
    <xf numFmtId="0" fontId="6" fillId="0" borderId="28" xfId="65" applyFont="1" applyFill="1" applyBorder="1" applyAlignment="1">
      <alignment horizontal="center"/>
      <protection/>
    </xf>
    <xf numFmtId="0" fontId="19" fillId="0" borderId="29" xfId="65" applyFont="1" applyFill="1" applyBorder="1" applyAlignment="1" applyProtection="1">
      <alignment horizontal="center"/>
      <protection/>
    </xf>
    <xf numFmtId="0" fontId="19" fillId="0" borderId="30" xfId="65" applyFont="1" applyFill="1" applyBorder="1" applyAlignment="1" applyProtection="1">
      <alignment horizontal="center"/>
      <protection/>
    </xf>
    <xf numFmtId="0" fontId="19" fillId="0" borderId="31" xfId="65" applyFont="1" applyFill="1" applyBorder="1" applyAlignment="1" applyProtection="1">
      <alignment horizontal="center"/>
      <protection/>
    </xf>
    <xf numFmtId="0" fontId="9" fillId="0" borderId="22" xfId="65" applyFont="1" applyFill="1" applyBorder="1" applyAlignment="1" applyProtection="1">
      <alignment horizontal="right" vertical="center"/>
      <protection/>
    </xf>
    <xf numFmtId="0" fontId="6" fillId="0" borderId="26"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6" fillId="0" borderId="27" xfId="64" applyFont="1" applyFill="1" applyBorder="1" applyAlignment="1">
      <alignment horizontal="centerContinuous" vertical="center"/>
      <protection/>
    </xf>
    <xf numFmtId="0" fontId="9" fillId="0" borderId="21" xfId="64" applyFont="1" applyFill="1" applyBorder="1" applyAlignment="1" applyProtection="1">
      <alignment horizontal="center" vertical="center"/>
      <protection/>
    </xf>
    <xf numFmtId="0" fontId="6" fillId="0" borderId="28" xfId="64" applyFont="1" applyFill="1" applyBorder="1" applyAlignment="1">
      <alignment horizontal="center"/>
      <protection/>
    </xf>
    <xf numFmtId="0" fontId="9" fillId="0" borderId="22" xfId="64" applyFont="1" applyFill="1" applyBorder="1" applyAlignment="1" applyProtection="1">
      <alignment horizontal="right" vertical="center"/>
      <protection/>
    </xf>
    <xf numFmtId="0" fontId="6" fillId="0" borderId="26"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27" xfId="63" applyFont="1" applyFill="1" applyBorder="1" applyAlignment="1">
      <alignment horizontal="centerContinuous" vertical="center"/>
      <protection/>
    </xf>
    <xf numFmtId="0" fontId="9" fillId="0" borderId="21" xfId="63" applyFont="1" applyFill="1" applyBorder="1" applyAlignment="1" applyProtection="1">
      <alignment horizontal="center" vertical="center"/>
      <protection/>
    </xf>
    <xf numFmtId="0" fontId="6" fillId="0" borderId="28" xfId="63" applyFont="1" applyFill="1" applyBorder="1" applyAlignment="1">
      <alignment horizontal="center"/>
      <protection/>
    </xf>
    <xf numFmtId="0" fontId="9" fillId="0" borderId="22" xfId="63" applyFont="1" applyFill="1" applyBorder="1" applyAlignment="1" applyProtection="1">
      <alignment horizontal="right" vertical="center"/>
      <protection/>
    </xf>
    <xf numFmtId="0" fontId="6" fillId="0" borderId="26" xfId="63" applyFont="1" applyFill="1" applyBorder="1" applyAlignment="1" applyProtection="1">
      <alignment horizontal="center"/>
      <protection/>
    </xf>
    <xf numFmtId="0" fontId="6" fillId="0" borderId="0" xfId="63"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3" xfId="0" applyFont="1" applyFill="1" applyBorder="1" applyAlignment="1">
      <alignment horizontal="center"/>
    </xf>
    <xf numFmtId="0" fontId="6" fillId="0" borderId="0" xfId="0" applyFont="1" applyAlignment="1">
      <alignment vertical="center"/>
    </xf>
    <xf numFmtId="0" fontId="6" fillId="0" borderId="34"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5" xfId="0" applyFont="1" applyFill="1" applyBorder="1" applyAlignment="1" applyProtection="1">
      <alignment horizontal="center" vertical="center"/>
      <protection/>
    </xf>
    <xf numFmtId="0" fontId="6" fillId="0" borderId="36" xfId="0" applyFont="1" applyFill="1" applyBorder="1" applyAlignment="1" applyProtection="1">
      <alignment horizontal="justify"/>
      <protection/>
    </xf>
    <xf numFmtId="0" fontId="22" fillId="0" borderId="0" xfId="0" applyFont="1" applyAlignment="1">
      <alignment/>
    </xf>
    <xf numFmtId="0" fontId="6" fillId="0" borderId="37" xfId="0" applyFont="1" applyFill="1" applyBorder="1" applyAlignment="1" applyProtection="1">
      <alignment horizontal="justify"/>
      <protection/>
    </xf>
    <xf numFmtId="0" fontId="0" fillId="0" borderId="0" xfId="0" applyFont="1" applyAlignment="1">
      <alignment/>
    </xf>
    <xf numFmtId="0" fontId="6" fillId="0" borderId="36" xfId="0" applyFont="1" applyFill="1" applyBorder="1" applyAlignment="1" applyProtection="1">
      <alignment horizontal="left"/>
      <protection/>
    </xf>
    <xf numFmtId="0" fontId="6" fillId="0" borderId="36" xfId="0" applyFont="1" applyFill="1" applyBorder="1" applyAlignment="1" applyProtection="1">
      <alignment horizontal="justify" wrapText="1"/>
      <protection/>
    </xf>
    <xf numFmtId="0" fontId="6" fillId="0" borderId="36" xfId="0" applyFont="1" applyFill="1" applyBorder="1" applyAlignment="1" applyProtection="1">
      <alignment wrapText="1"/>
      <protection/>
    </xf>
    <xf numFmtId="0" fontId="9" fillId="0" borderId="38" xfId="0" applyFont="1" applyFill="1" applyBorder="1" applyAlignment="1">
      <alignment horizontal="centerContinuous" vertical="center" wrapText="1"/>
    </xf>
    <xf numFmtId="0" fontId="9" fillId="0" borderId="28" xfId="0" applyFont="1" applyFill="1" applyBorder="1" applyAlignment="1" applyProtection="1">
      <alignment horizontal="center" vertical="center"/>
      <protection/>
    </xf>
    <xf numFmtId="0" fontId="6" fillId="0" borderId="31"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6" xfId="0" applyFont="1" applyFill="1" applyBorder="1" applyAlignment="1" applyProtection="1">
      <alignment horizontal="center"/>
      <protection/>
    </xf>
    <xf numFmtId="0" fontId="6" fillId="0" borderId="27"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2"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7" xfId="0" applyFont="1" applyFill="1" applyBorder="1" applyAlignment="1" applyProtection="1">
      <alignment horizontal="centerContinuous" vertical="center"/>
      <protection/>
    </xf>
    <xf numFmtId="0" fontId="9" fillId="0" borderId="32" xfId="0" applyFont="1" applyFill="1" applyBorder="1" applyAlignment="1" applyProtection="1">
      <alignment horizontal="centerContinuous" vertical="center" wrapText="1"/>
      <protection/>
    </xf>
    <xf numFmtId="0" fontId="9" fillId="0" borderId="39" xfId="0" applyFont="1" applyFill="1" applyBorder="1" applyAlignment="1">
      <alignment horizontal="centerContinuous" vertical="center" wrapText="1"/>
    </xf>
    <xf numFmtId="0" fontId="6" fillId="0" borderId="33" xfId="0" applyFont="1" applyFill="1" applyBorder="1" applyAlignment="1" applyProtection="1">
      <alignment horizontal="left"/>
      <protection/>
    </xf>
    <xf numFmtId="0" fontId="9" fillId="0" borderId="39" xfId="65" applyFont="1" applyFill="1" applyBorder="1" applyAlignment="1">
      <alignment horizontal="centerContinuous" vertical="center"/>
      <protection/>
    </xf>
    <xf numFmtId="0" fontId="6" fillId="0" borderId="37" xfId="0" applyFont="1" applyFill="1" applyBorder="1" applyAlignment="1" applyProtection="1">
      <alignment horizontal="justify" wrapText="1"/>
      <protection/>
    </xf>
    <xf numFmtId="0" fontId="9" fillId="24" borderId="40"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27" xfId="63" applyFont="1" applyFill="1" applyBorder="1" applyAlignment="1">
      <alignment horizontal="centerContinuous" vertical="center"/>
      <protection/>
    </xf>
    <xf numFmtId="0" fontId="20" fillId="24" borderId="41" xfId="63" applyFont="1" applyFill="1" applyBorder="1" applyAlignment="1" applyProtection="1">
      <alignment horizontal="centerContinuous" vertical="center" wrapText="1"/>
      <protection/>
    </xf>
    <xf numFmtId="0" fontId="20" fillId="24" borderId="39" xfId="63" applyFont="1" applyFill="1" applyBorder="1" applyAlignment="1">
      <alignment horizontal="centerContinuous" vertical="center"/>
      <protection/>
    </xf>
    <xf numFmtId="0" fontId="20" fillId="24" borderId="39" xfId="64" applyFont="1" applyFill="1" applyBorder="1" applyAlignment="1">
      <alignment horizontal="centerContinuous" vertical="center"/>
      <protection/>
    </xf>
    <xf numFmtId="0" fontId="20" fillId="24" borderId="32" xfId="64" applyFont="1" applyFill="1" applyBorder="1" applyAlignment="1" applyProtection="1">
      <alignment horizontal="centerContinuous" vertical="center"/>
      <protection/>
    </xf>
    <xf numFmtId="0" fontId="19" fillId="24" borderId="42" xfId="63" applyFont="1" applyFill="1" applyBorder="1" applyAlignment="1" applyProtection="1">
      <alignment horizontal="center"/>
      <protection/>
    </xf>
    <xf numFmtId="0" fontId="19" fillId="24" borderId="31" xfId="63" applyFont="1" applyFill="1" applyBorder="1" applyAlignment="1" applyProtection="1">
      <alignment horizontal="center"/>
      <protection/>
    </xf>
    <xf numFmtId="0" fontId="19" fillId="24" borderId="29" xfId="63" applyFont="1" applyFill="1" applyBorder="1" applyAlignment="1" applyProtection="1">
      <alignment horizontal="center"/>
      <protection/>
    </xf>
    <xf numFmtId="0" fontId="19" fillId="24" borderId="42" xfId="64" applyFont="1" applyFill="1" applyBorder="1" applyAlignment="1" applyProtection="1">
      <alignment horizontal="center"/>
      <protection/>
    </xf>
    <xf numFmtId="0" fontId="19" fillId="24" borderId="31" xfId="64" applyFont="1" applyFill="1" applyBorder="1" applyAlignment="1" applyProtection="1">
      <alignment horizontal="center"/>
      <protection/>
    </xf>
    <xf numFmtId="0" fontId="19" fillId="24" borderId="29" xfId="64" applyFont="1" applyFill="1" applyBorder="1" applyAlignment="1" applyProtection="1">
      <alignment horizontal="center"/>
      <protection/>
    </xf>
    <xf numFmtId="0" fontId="6" fillId="0" borderId="43" xfId="0" applyFont="1" applyFill="1" applyBorder="1" applyAlignment="1" applyProtection="1">
      <alignment horizontal="center"/>
      <protection/>
    </xf>
    <xf numFmtId="0" fontId="6" fillId="0" borderId="44" xfId="0" applyFont="1" applyFill="1" applyBorder="1" applyAlignment="1" applyProtection="1">
      <alignment horizontal="left"/>
      <protection/>
    </xf>
    <xf numFmtId="0" fontId="9" fillId="0" borderId="45"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6" fillId="0" borderId="46" xfId="0" applyFont="1" applyFill="1" applyBorder="1" applyAlignment="1" applyProtection="1">
      <alignment horizontal="center"/>
      <protection/>
    </xf>
    <xf numFmtId="0" fontId="16" fillId="0" borderId="33" xfId="0" applyFont="1" applyFill="1" applyBorder="1" applyAlignment="1" applyProtection="1">
      <alignment horizontal="center"/>
      <protection/>
    </xf>
    <xf numFmtId="0" fontId="16" fillId="0" borderId="47" xfId="0" applyFont="1" applyFill="1" applyBorder="1" applyAlignment="1" applyProtection="1">
      <alignment horizontal="center"/>
      <protection/>
    </xf>
    <xf numFmtId="0" fontId="6" fillId="0" borderId="0" xfId="0" applyFont="1" applyAlignment="1">
      <alignment textRotation="255"/>
    </xf>
    <xf numFmtId="0" fontId="9" fillId="0" borderId="48" xfId="0" applyFont="1" applyFill="1" applyBorder="1" applyAlignment="1" applyProtection="1">
      <alignment horizontal="right"/>
      <protection/>
    </xf>
    <xf numFmtId="0" fontId="28" fillId="0" borderId="26" xfId="63" applyFont="1" applyFill="1" applyBorder="1" applyAlignment="1" applyProtection="1">
      <alignment horizontal="center"/>
      <protection/>
    </xf>
    <xf numFmtId="0" fontId="28" fillId="0" borderId="0" xfId="0" applyFont="1" applyAlignment="1">
      <alignment horizontal="center"/>
    </xf>
    <xf numFmtId="0" fontId="28" fillId="0" borderId="0" xfId="63" applyFont="1" applyAlignment="1">
      <alignment horizontal="center"/>
      <protection/>
    </xf>
    <xf numFmtId="0" fontId="29" fillId="0" borderId="0" xfId="0" applyFont="1" applyAlignment="1">
      <alignment/>
    </xf>
    <xf numFmtId="0" fontId="16" fillId="0" borderId="49" xfId="0" applyFont="1" applyFill="1" applyBorder="1" applyAlignment="1" applyProtection="1">
      <alignment horizontal="center"/>
      <protection/>
    </xf>
    <xf numFmtId="0" fontId="16" fillId="0" borderId="50" xfId="0" applyFont="1" applyFill="1" applyBorder="1" applyAlignment="1" applyProtection="1">
      <alignment horizontal="center"/>
      <protection/>
    </xf>
    <xf numFmtId="0" fontId="16" fillId="0" borderId="51" xfId="0" applyFont="1" applyFill="1" applyBorder="1" applyAlignment="1" applyProtection="1">
      <alignment horizontal="center"/>
      <protection/>
    </xf>
    <xf numFmtId="0" fontId="6" fillId="0" borderId="37" xfId="0" applyFont="1" applyFill="1" applyBorder="1" applyAlignment="1" applyProtection="1">
      <alignment wrapText="1"/>
      <protection/>
    </xf>
    <xf numFmtId="0" fontId="6" fillId="0" borderId="44" xfId="0" applyFont="1" applyFill="1" applyBorder="1" applyAlignment="1" applyProtection="1">
      <alignment horizontal="justify" wrapText="1"/>
      <protection/>
    </xf>
    <xf numFmtId="0" fontId="6" fillId="0" borderId="52" xfId="0" applyFont="1" applyFill="1" applyBorder="1" applyAlignment="1" applyProtection="1">
      <alignment horizontal="center"/>
      <protection/>
    </xf>
    <xf numFmtId="0" fontId="6" fillId="0" borderId="33" xfId="0" applyFont="1" applyBorder="1" applyAlignment="1">
      <alignment horizontal="center"/>
    </xf>
    <xf numFmtId="0" fontId="9" fillId="0" borderId="33" xfId="0" applyFont="1" applyBorder="1" applyAlignment="1">
      <alignment horizontal="center"/>
    </xf>
    <xf numFmtId="0" fontId="9" fillId="0" borderId="33" xfId="0" applyFont="1" applyBorder="1" applyAlignment="1">
      <alignment horizontal="center" wrapText="1"/>
    </xf>
    <xf numFmtId="0" fontId="6" fillId="0" borderId="33" xfId="0" applyFont="1" applyBorder="1" applyAlignment="1">
      <alignment/>
    </xf>
    <xf numFmtId="0" fontId="14" fillId="0" borderId="33"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wrapText="1"/>
      <protection/>
    </xf>
    <xf numFmtId="0" fontId="9" fillId="0" borderId="33" xfId="0" applyFont="1" applyBorder="1" applyAlignment="1">
      <alignment horizontal="center" vertical="center" wrapText="1"/>
    </xf>
    <xf numFmtId="0" fontId="14" fillId="0" borderId="46" xfId="0" applyFont="1" applyBorder="1" applyAlignment="1">
      <alignment horizontal="center" wrapText="1"/>
    </xf>
    <xf numFmtId="0" fontId="15" fillId="0" borderId="33" xfId="0" applyFont="1" applyFill="1" applyBorder="1" applyAlignment="1" applyProtection="1">
      <alignment horizontal="center"/>
      <protection/>
    </xf>
    <xf numFmtId="0" fontId="9" fillId="0" borderId="46" xfId="0" applyFont="1" applyBorder="1" applyAlignment="1">
      <alignment horizontal="center" vertical="center" wrapText="1"/>
    </xf>
    <xf numFmtId="0" fontId="8" fillId="0" borderId="33" xfId="0" applyFont="1" applyBorder="1" applyAlignment="1">
      <alignment horizontal="center" wrapText="1"/>
    </xf>
    <xf numFmtId="0" fontId="14" fillId="0" borderId="33" xfId="0" applyFont="1" applyBorder="1" applyAlignment="1">
      <alignment horizontal="center"/>
    </xf>
    <xf numFmtId="0" fontId="14" fillId="0" borderId="33" xfId="0" applyFont="1" applyBorder="1" applyAlignment="1">
      <alignment horizontal="center" wrapText="1"/>
    </xf>
    <xf numFmtId="0" fontId="6" fillId="0" borderId="53" xfId="0" applyFont="1" applyFill="1" applyBorder="1" applyAlignment="1">
      <alignment horizontal="center"/>
    </xf>
    <xf numFmtId="0" fontId="15" fillId="0" borderId="33" xfId="0" applyFont="1" applyBorder="1" applyAlignment="1">
      <alignment/>
    </xf>
    <xf numFmtId="0" fontId="15" fillId="0" borderId="0" xfId="0" applyFont="1" applyAlignment="1">
      <alignment/>
    </xf>
    <xf numFmtId="0" fontId="14" fillId="0" borderId="33"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3" xfId="0" applyFont="1" applyFill="1" applyBorder="1" applyAlignment="1" applyProtection="1">
      <alignment horizontal="center" vertical="center" wrapText="1"/>
      <protection/>
    </xf>
    <xf numFmtId="0" fontId="30" fillId="0" borderId="0" xfId="0" applyFont="1" applyAlignment="1">
      <alignment horizontal="center"/>
    </xf>
    <xf numFmtId="0" fontId="30" fillId="0" borderId="0" xfId="0" applyFont="1" applyAlignment="1">
      <alignment/>
    </xf>
    <xf numFmtId="0" fontId="6" fillId="0" borderId="44" xfId="0" applyFont="1" applyFill="1" applyBorder="1" applyAlignment="1" applyProtection="1">
      <alignment horizontal="left"/>
      <protection/>
    </xf>
    <xf numFmtId="0" fontId="6" fillId="0" borderId="54" xfId="0" applyFont="1" applyFill="1" applyBorder="1" applyAlignment="1" applyProtection="1">
      <alignment horizontal="left"/>
      <protection/>
    </xf>
    <xf numFmtId="3" fontId="9" fillId="0" borderId="55" xfId="0" applyNumberFormat="1" applyFont="1" applyBorder="1" applyAlignment="1">
      <alignment horizontal="center"/>
    </xf>
    <xf numFmtId="3" fontId="6" fillId="24" borderId="33" xfId="0" applyNumberFormat="1" applyFont="1" applyFill="1" applyBorder="1" applyAlignment="1">
      <alignment horizontal="center"/>
    </xf>
    <xf numFmtId="3" fontId="6" fillId="24" borderId="47" xfId="0" applyNumberFormat="1" applyFont="1" applyFill="1" applyBorder="1" applyAlignment="1">
      <alignment horizontal="center"/>
    </xf>
    <xf numFmtId="0" fontId="9" fillId="0" borderId="52" xfId="0" applyFont="1" applyFill="1" applyBorder="1" applyAlignment="1" applyProtection="1">
      <alignment horizontal="center"/>
      <protection/>
    </xf>
    <xf numFmtId="0" fontId="9" fillId="0" borderId="56" xfId="0" applyFont="1" applyFill="1" applyBorder="1" applyAlignment="1" applyProtection="1">
      <alignment horizontal="center"/>
      <protection/>
    </xf>
    <xf numFmtId="0" fontId="9" fillId="0" borderId="57" xfId="0" applyFont="1" applyFill="1" applyBorder="1" applyAlignment="1" applyProtection="1">
      <alignment horizontal="center"/>
      <protection/>
    </xf>
    <xf numFmtId="3" fontId="6" fillId="0" borderId="58" xfId="0" applyNumberFormat="1" applyFont="1" applyFill="1" applyBorder="1" applyAlignment="1" applyProtection="1">
      <alignment/>
      <protection locked="0"/>
    </xf>
    <xf numFmtId="3" fontId="6" fillId="0" borderId="59" xfId="0" applyNumberFormat="1" applyFont="1" applyFill="1" applyBorder="1" applyAlignment="1" applyProtection="1">
      <alignment/>
      <protection locked="0"/>
    </xf>
    <xf numFmtId="4" fontId="6" fillId="0" borderId="58" xfId="0" applyNumberFormat="1" applyFont="1" applyFill="1" applyBorder="1" applyAlignment="1" applyProtection="1">
      <alignment/>
      <protection locked="0"/>
    </xf>
    <xf numFmtId="3" fontId="6" fillId="0" borderId="60" xfId="0" applyNumberFormat="1" applyFont="1" applyFill="1" applyBorder="1" applyAlignment="1" applyProtection="1">
      <alignment/>
      <protection locked="0"/>
    </xf>
    <xf numFmtId="3" fontId="6" fillId="0" borderId="61" xfId="0" applyNumberFormat="1" applyFont="1" applyFill="1" applyBorder="1" applyAlignment="1" applyProtection="1">
      <alignment/>
      <protection locked="0"/>
    </xf>
    <xf numFmtId="3" fontId="16" fillId="0" borderId="62" xfId="0" applyNumberFormat="1" applyFont="1" applyFill="1" applyBorder="1" applyAlignment="1" applyProtection="1">
      <alignment/>
      <protection locked="0"/>
    </xf>
    <xf numFmtId="3" fontId="16" fillId="0" borderId="63" xfId="0" applyNumberFormat="1" applyFont="1" applyFill="1" applyBorder="1" applyAlignment="1" applyProtection="1">
      <alignment/>
      <protection locked="0"/>
    </xf>
    <xf numFmtId="3" fontId="16" fillId="0" borderId="64" xfId="0" applyNumberFormat="1" applyFont="1" applyFill="1" applyBorder="1" applyAlignment="1" applyProtection="1">
      <alignment/>
      <protection locked="0"/>
    </xf>
    <xf numFmtId="3" fontId="16" fillId="0" borderId="65"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0" xfId="0" applyFont="1" applyFill="1" applyBorder="1" applyAlignment="1">
      <alignment horizontal="center" vertical="center"/>
    </xf>
    <xf numFmtId="0" fontId="6" fillId="0" borderId="71" xfId="0" applyFont="1" applyFill="1" applyBorder="1" applyAlignment="1" applyProtection="1">
      <alignment horizontal="center"/>
      <protection/>
    </xf>
    <xf numFmtId="3" fontId="6" fillId="0" borderId="18" xfId="63" applyNumberFormat="1" applyFont="1" applyFill="1" applyBorder="1" applyProtection="1">
      <alignment/>
      <protection locked="0"/>
    </xf>
    <xf numFmtId="3" fontId="6" fillId="0" borderId="72" xfId="63" applyNumberFormat="1" applyFont="1" applyFill="1" applyBorder="1" applyProtection="1">
      <alignment/>
      <protection locked="0"/>
    </xf>
    <xf numFmtId="3" fontId="6" fillId="0" borderId="58" xfId="63" applyNumberFormat="1" applyFont="1" applyFill="1" applyBorder="1" applyProtection="1">
      <alignment/>
      <protection locked="0"/>
    </xf>
    <xf numFmtId="3" fontId="6" fillId="0" borderId="18" xfId="64" applyNumberFormat="1" applyFont="1" applyFill="1" applyBorder="1" applyProtection="1">
      <alignment/>
      <protection locked="0"/>
    </xf>
    <xf numFmtId="3" fontId="6" fillId="0" borderId="72" xfId="64" applyNumberFormat="1" applyFont="1" applyFill="1" applyBorder="1" applyProtection="1">
      <alignment/>
      <protection locked="0"/>
    </xf>
    <xf numFmtId="3" fontId="6" fillId="0" borderId="58" xfId="64" applyNumberFormat="1" applyFont="1" applyFill="1" applyBorder="1" applyProtection="1">
      <alignment/>
      <protection locked="0"/>
    </xf>
    <xf numFmtId="0" fontId="6" fillId="0" borderId="73" xfId="0" applyFont="1" applyFill="1" applyBorder="1" applyAlignment="1" applyProtection="1">
      <alignment horizontal="center"/>
      <protection/>
    </xf>
    <xf numFmtId="3" fontId="6" fillId="0" borderId="43" xfId="63" applyNumberFormat="1" applyFont="1" applyFill="1" applyBorder="1" applyProtection="1">
      <alignment/>
      <protection locked="0"/>
    </xf>
    <xf numFmtId="3" fontId="6" fillId="0" borderId="74" xfId="63" applyNumberFormat="1" applyFont="1" applyFill="1" applyBorder="1" applyProtection="1">
      <alignment/>
      <protection locked="0"/>
    </xf>
    <xf numFmtId="3" fontId="6" fillId="0" borderId="75" xfId="63" applyNumberFormat="1" applyFont="1" applyFill="1" applyBorder="1" applyProtection="1">
      <alignment/>
      <protection locked="0"/>
    </xf>
    <xf numFmtId="3" fontId="6" fillId="0" borderId="58" xfId="65" applyNumberFormat="1" applyFont="1" applyFill="1" applyBorder="1" applyProtection="1">
      <alignment/>
      <protection locked="0"/>
    </xf>
    <xf numFmtId="3" fontId="6" fillId="0" borderId="43" xfId="65" applyNumberFormat="1" applyFont="1" applyFill="1" applyBorder="1" applyProtection="1">
      <alignment/>
      <protection locked="0"/>
    </xf>
    <xf numFmtId="3" fontId="6" fillId="0" borderId="72" xfId="65" applyNumberFormat="1" applyFont="1" applyFill="1" applyBorder="1" applyProtection="1">
      <alignment/>
      <protection locked="0"/>
    </xf>
    <xf numFmtId="3" fontId="6" fillId="0" borderId="52" xfId="65" applyNumberFormat="1" applyFont="1" applyFill="1" applyBorder="1" applyProtection="1">
      <alignment/>
      <protection locked="0"/>
    </xf>
    <xf numFmtId="3" fontId="6" fillId="0" borderId="74" xfId="65" applyNumberFormat="1" applyFont="1" applyFill="1" applyBorder="1" applyProtection="1">
      <alignment/>
      <protection locked="0"/>
    </xf>
    <xf numFmtId="3" fontId="6" fillId="0" borderId="17" xfId="65" applyNumberFormat="1" applyFont="1" applyFill="1" applyBorder="1" applyProtection="1">
      <alignment/>
      <protection locked="0"/>
    </xf>
    <xf numFmtId="3" fontId="6" fillId="0" borderId="76" xfId="65" applyNumberFormat="1" applyFont="1" applyFill="1" applyBorder="1" applyProtection="1">
      <alignment/>
      <protection locked="0"/>
    </xf>
    <xf numFmtId="0" fontId="19" fillId="0" borderId="29" xfId="0" applyFont="1" applyFill="1" applyBorder="1" applyAlignment="1" applyProtection="1">
      <alignment horizontal="center"/>
      <protection/>
    </xf>
    <xf numFmtId="0" fontId="19" fillId="0" borderId="30" xfId="0" applyFont="1" applyFill="1" applyBorder="1" applyAlignment="1" applyProtection="1">
      <alignment horizontal="center"/>
      <protection/>
    </xf>
    <xf numFmtId="0" fontId="22" fillId="0" borderId="77" xfId="0" applyFont="1" applyFill="1" applyBorder="1" applyAlignment="1" applyProtection="1">
      <alignment horizontal="center" textRotation="255" wrapText="1"/>
      <protection/>
    </xf>
    <xf numFmtId="0" fontId="22" fillId="0" borderId="78" xfId="0" applyFont="1" applyFill="1" applyBorder="1" applyAlignment="1" applyProtection="1">
      <alignment horizontal="center" textRotation="255" wrapText="1"/>
      <protection/>
    </xf>
    <xf numFmtId="3" fontId="6" fillId="0" borderId="74" xfId="0" applyNumberFormat="1" applyFont="1" applyBorder="1" applyAlignment="1" applyProtection="1">
      <alignment/>
      <protection locked="0"/>
    </xf>
    <xf numFmtId="3" fontId="6" fillId="0" borderId="74" xfId="0" applyNumberFormat="1" applyFont="1" applyFill="1" applyBorder="1" applyAlignment="1" applyProtection="1">
      <alignment/>
      <protection locked="0"/>
    </xf>
    <xf numFmtId="3" fontId="6" fillId="0" borderId="46" xfId="0" applyNumberFormat="1" applyFont="1" applyFill="1" applyBorder="1" applyAlignment="1" applyProtection="1">
      <alignment/>
      <protection locked="0"/>
    </xf>
    <xf numFmtId="3" fontId="6" fillId="0" borderId="43" xfId="0" applyNumberFormat="1" applyFont="1" applyFill="1" applyBorder="1" applyAlignment="1" applyProtection="1">
      <alignment/>
      <protection locked="0"/>
    </xf>
    <xf numFmtId="3" fontId="6" fillId="0" borderId="75" xfId="0" applyNumberFormat="1" applyFont="1" applyFill="1" applyBorder="1" applyAlignment="1" applyProtection="1">
      <alignment/>
      <protection locked="0"/>
    </xf>
    <xf numFmtId="3" fontId="6" fillId="0" borderId="33" xfId="0" applyNumberFormat="1" applyFont="1" applyFill="1" applyBorder="1" applyAlignment="1" applyProtection="1">
      <alignment/>
      <protection locked="0"/>
    </xf>
    <xf numFmtId="3" fontId="6" fillId="0" borderId="53" xfId="0" applyNumberFormat="1" applyFont="1" applyFill="1" applyBorder="1" applyAlignment="1" applyProtection="1">
      <alignment/>
      <protection locked="0"/>
    </xf>
    <xf numFmtId="3" fontId="6" fillId="0" borderId="58" xfId="66" applyNumberFormat="1" applyFont="1" applyFill="1" applyBorder="1" applyProtection="1">
      <alignment/>
      <protection locked="0"/>
    </xf>
    <xf numFmtId="3" fontId="6" fillId="0" borderId="43" xfId="66" applyNumberFormat="1" applyFont="1" applyFill="1" applyBorder="1" applyProtection="1">
      <alignment/>
      <protection locked="0"/>
    </xf>
    <xf numFmtId="3" fontId="6" fillId="0" borderId="72" xfId="66" applyNumberFormat="1" applyFont="1" applyFill="1" applyBorder="1" applyProtection="1">
      <alignment/>
      <protection locked="0"/>
    </xf>
    <xf numFmtId="3" fontId="6" fillId="0" borderId="52" xfId="66" applyNumberFormat="1" applyFont="1" applyFill="1" applyBorder="1" applyProtection="1">
      <alignment/>
      <protection locked="0"/>
    </xf>
    <xf numFmtId="3" fontId="6" fillId="0" borderId="74" xfId="66" applyNumberFormat="1" applyFont="1" applyFill="1" applyBorder="1" applyProtection="1">
      <alignment/>
      <protection locked="0"/>
    </xf>
    <xf numFmtId="3" fontId="6" fillId="0" borderId="73"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79" xfId="0" applyFont="1" applyFill="1" applyBorder="1" applyAlignment="1" applyProtection="1">
      <alignment horizontal="centerContinuous" vertical="center"/>
      <protection/>
    </xf>
    <xf numFmtId="0" fontId="9" fillId="0" borderId="25" xfId="0" applyFont="1" applyFill="1" applyBorder="1" applyAlignment="1" applyProtection="1">
      <alignment horizontal="centerContinuous" vertical="center" wrapText="1"/>
      <protection/>
    </xf>
    <xf numFmtId="0" fontId="19" fillId="0" borderId="30" xfId="0" applyFont="1" applyFill="1" applyBorder="1" applyAlignment="1" applyProtection="1">
      <alignment/>
      <protection/>
    </xf>
    <xf numFmtId="0" fontId="19" fillId="0" borderId="29" xfId="0" applyFont="1" applyFill="1" applyBorder="1" applyAlignment="1" applyProtection="1">
      <alignment horizontal="center"/>
      <protection/>
    </xf>
    <xf numFmtId="0" fontId="19" fillId="0" borderId="30" xfId="0" applyFont="1" applyFill="1" applyBorder="1" applyAlignment="1" applyProtection="1">
      <alignment horizontal="center"/>
      <protection/>
    </xf>
    <xf numFmtId="0" fontId="19" fillId="0" borderId="31" xfId="0" applyFont="1" applyFill="1" applyBorder="1" applyAlignment="1" applyProtection="1">
      <alignment horizontal="center"/>
      <protection/>
    </xf>
    <xf numFmtId="0" fontId="19" fillId="0" borderId="80"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4" xfId="0" applyFont="1" applyBorder="1" applyAlignment="1">
      <alignment/>
    </xf>
    <xf numFmtId="3" fontId="6" fillId="0" borderId="81" xfId="68" applyNumberFormat="1" applyFont="1" applyFill="1" applyBorder="1" applyProtection="1">
      <alignment/>
      <protection locked="0"/>
    </xf>
    <xf numFmtId="3" fontId="6" fillId="0" borderId="73" xfId="68" applyNumberFormat="1" applyFont="1" applyFill="1" applyBorder="1" applyProtection="1">
      <alignment/>
      <protection locked="0"/>
    </xf>
    <xf numFmtId="3" fontId="6" fillId="0" borderId="75" xfId="68" applyNumberFormat="1" applyFont="1" applyFill="1" applyBorder="1" applyProtection="1">
      <alignment/>
      <protection locked="0"/>
    </xf>
    <xf numFmtId="3" fontId="6" fillId="0" borderId="71" xfId="68" applyNumberFormat="1" applyFont="1" applyFill="1" applyBorder="1" applyProtection="1">
      <alignment/>
      <protection locked="0"/>
    </xf>
    <xf numFmtId="0" fontId="18" fillId="0" borderId="82"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83" xfId="66" applyFont="1" applyFill="1" applyBorder="1" applyAlignment="1" applyProtection="1">
      <alignment horizontal="center" vertical="center"/>
      <protection/>
    </xf>
    <xf numFmtId="0" fontId="14" fillId="0" borderId="83" xfId="65" applyFont="1" applyFill="1" applyBorder="1" applyAlignment="1" applyProtection="1">
      <alignment horizontal="center" vertical="center"/>
      <protection/>
    </xf>
    <xf numFmtId="0" fontId="14" fillId="0" borderId="83" xfId="64" applyFont="1" applyFill="1" applyBorder="1" applyAlignment="1" applyProtection="1">
      <alignment horizontal="center" vertical="center"/>
      <protection/>
    </xf>
    <xf numFmtId="0" fontId="14" fillId="0" borderId="83" xfId="63"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protection/>
    </xf>
    <xf numFmtId="0" fontId="15" fillId="0" borderId="28" xfId="63" applyFont="1" applyFill="1" applyBorder="1" applyAlignment="1">
      <alignment horizontal="center"/>
      <protection/>
    </xf>
    <xf numFmtId="0" fontId="15" fillId="0" borderId="84" xfId="0" applyFont="1" applyFill="1" applyBorder="1" applyAlignment="1" applyProtection="1">
      <alignment horizontal="center"/>
      <protection/>
    </xf>
    <xf numFmtId="0" fontId="15" fillId="0" borderId="85" xfId="0" applyFont="1" applyFill="1" applyBorder="1" applyAlignment="1" applyProtection="1">
      <alignment horizontal="center"/>
      <protection/>
    </xf>
    <xf numFmtId="0" fontId="19" fillId="0" borderId="86" xfId="68" applyFont="1" applyFill="1" applyBorder="1" applyAlignment="1" applyProtection="1">
      <alignment horizontal="center"/>
      <protection/>
    </xf>
    <xf numFmtId="0" fontId="19" fillId="0" borderId="23" xfId="68" applyFont="1" applyFill="1" applyBorder="1" applyAlignment="1" applyProtection="1">
      <alignment horizontal="center"/>
      <protection/>
    </xf>
    <xf numFmtId="0" fontId="19" fillId="0" borderId="0" xfId="68" applyFont="1">
      <alignment/>
      <protection/>
    </xf>
    <xf numFmtId="0" fontId="19" fillId="0" borderId="28" xfId="0" applyFont="1" applyFill="1" applyBorder="1" applyAlignment="1">
      <alignment horizontal="center"/>
    </xf>
    <xf numFmtId="0" fontId="26" fillId="0" borderId="29" xfId="0" applyFont="1" applyFill="1" applyBorder="1" applyAlignment="1" applyProtection="1">
      <alignment horizontal="center"/>
      <protection/>
    </xf>
    <xf numFmtId="0" fontId="26" fillId="0" borderId="87" xfId="0" applyFont="1" applyFill="1" applyBorder="1" applyAlignment="1" applyProtection="1">
      <alignment horizontal="center"/>
      <protection/>
    </xf>
    <xf numFmtId="0" fontId="9" fillId="0" borderId="88" xfId="0" applyFont="1" applyFill="1" applyBorder="1" applyAlignment="1" applyProtection="1">
      <alignment horizontal="center" vertical="center"/>
      <protection/>
    </xf>
    <xf numFmtId="0" fontId="9" fillId="0" borderId="89" xfId="0" applyFont="1" applyFill="1" applyBorder="1" applyAlignment="1" applyProtection="1">
      <alignment horizontal="centerContinuous" vertical="center" wrapText="1"/>
      <protection/>
    </xf>
    <xf numFmtId="0" fontId="5" fillId="0" borderId="90" xfId="68" applyFont="1" applyBorder="1" applyAlignment="1" applyProtection="1">
      <alignment horizontal="left" vertical="top"/>
      <protection/>
    </xf>
    <xf numFmtId="0" fontId="9" fillId="0" borderId="48" xfId="63" applyFont="1" applyBorder="1" applyAlignment="1">
      <alignment horizontal="right"/>
      <protection/>
    </xf>
    <xf numFmtId="0" fontId="9" fillId="0" borderId="69" xfId="0" applyFont="1" applyFill="1" applyBorder="1" applyAlignment="1" applyProtection="1">
      <alignment horizontal="right" vertical="center"/>
      <protection/>
    </xf>
    <xf numFmtId="0" fontId="9" fillId="0" borderId="62" xfId="0" applyFont="1" applyFill="1" applyBorder="1" applyAlignment="1">
      <alignment horizontal="centerContinuous" vertical="center"/>
    </xf>
    <xf numFmtId="0" fontId="19" fillId="0" borderId="31"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14" xfId="68" applyFont="1" applyBorder="1" applyAlignment="1">
      <alignment horizontal="centerContinuous" vertical="center"/>
      <protection/>
    </xf>
    <xf numFmtId="0" fontId="9" fillId="0" borderId="34" xfId="68" applyFont="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8" fillId="0" borderId="91" xfId="0" applyFont="1" applyFill="1" applyBorder="1" applyAlignment="1" applyProtection="1">
      <alignment horizontal="left" vertical="center" wrapText="1"/>
      <protection/>
    </xf>
    <xf numFmtId="0" fontId="6" fillId="0" borderId="90" xfId="0" applyFont="1" applyFill="1" applyBorder="1" applyAlignment="1">
      <alignment horizontal="centerContinuous"/>
    </xf>
    <xf numFmtId="0" fontId="8" fillId="0" borderId="92" xfId="0" applyFont="1" applyFill="1" applyBorder="1" applyAlignment="1" applyProtection="1">
      <alignment horizontal="centerContinuous" vertical="center" wrapText="1"/>
      <protection/>
    </xf>
    <xf numFmtId="0" fontId="9" fillId="0" borderId="23" xfId="0" applyFont="1" applyFill="1" applyBorder="1" applyAlignment="1" applyProtection="1">
      <alignment horizontal="center" vertical="center" wrapText="1"/>
      <protection/>
    </xf>
    <xf numFmtId="0" fontId="8" fillId="0" borderId="83" xfId="0" applyFont="1" applyFill="1" applyBorder="1" applyAlignment="1" applyProtection="1">
      <alignment horizontal="centerContinuous" vertical="center" wrapText="1"/>
      <protection/>
    </xf>
    <xf numFmtId="0" fontId="8" fillId="0" borderId="93" xfId="0" applyFont="1" applyFill="1" applyBorder="1" applyAlignment="1">
      <alignment horizontal="center" vertical="center"/>
    </xf>
    <xf numFmtId="0" fontId="9" fillId="0" borderId="87"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3" xfId="0" applyFont="1" applyFill="1" applyBorder="1" applyAlignment="1" applyProtection="1">
      <alignment horizontal="center"/>
      <protection/>
    </xf>
    <xf numFmtId="0" fontId="21" fillId="0" borderId="0" xfId="0" applyFont="1" applyAlignment="1">
      <alignment horizontal="left"/>
    </xf>
    <xf numFmtId="38" fontId="6" fillId="0" borderId="46" xfId="47" applyNumberFormat="1" applyFont="1" applyBorder="1" applyAlignment="1">
      <alignment/>
    </xf>
    <xf numFmtId="38" fontId="6" fillId="0" borderId="33" xfId="47" applyNumberFormat="1" applyFont="1" applyBorder="1" applyAlignment="1">
      <alignment/>
    </xf>
    <xf numFmtId="38" fontId="6" fillId="0" borderId="56" xfId="47" applyNumberFormat="1" applyFont="1" applyBorder="1" applyAlignment="1">
      <alignment/>
    </xf>
    <xf numFmtId="0" fontId="6" fillId="0" borderId="33" xfId="0" applyFont="1" applyBorder="1" applyAlignment="1">
      <alignment horizontal="center"/>
    </xf>
    <xf numFmtId="0" fontId="6" fillId="0" borderId="46" xfId="0" applyFont="1" applyFill="1" applyBorder="1" applyAlignment="1" applyProtection="1">
      <alignment horizontal="center"/>
      <protection/>
    </xf>
    <xf numFmtId="3" fontId="6" fillId="0" borderId="58" xfId="0" applyNumberFormat="1" applyFont="1" applyFill="1" applyBorder="1" applyAlignment="1" applyProtection="1">
      <alignment/>
      <protection locked="0"/>
    </xf>
    <xf numFmtId="3" fontId="6" fillId="24" borderId="58" xfId="0" applyNumberFormat="1" applyFont="1" applyFill="1" applyBorder="1" applyAlignment="1" applyProtection="1">
      <alignment/>
      <protection locked="0"/>
    </xf>
    <xf numFmtId="3" fontId="6" fillId="24" borderId="43" xfId="0" applyNumberFormat="1" applyFont="1" applyFill="1" applyBorder="1" applyAlignment="1" applyProtection="1">
      <alignment/>
      <protection locked="0"/>
    </xf>
    <xf numFmtId="0" fontId="32" fillId="0" borderId="90" xfId="0" applyFont="1" applyBorder="1" applyAlignment="1">
      <alignment horizontal="right" vertical="center" wrapText="1"/>
    </xf>
    <xf numFmtId="3" fontId="6" fillId="0" borderId="16" xfId="67" applyNumberFormat="1" applyFont="1" applyFill="1" applyBorder="1" applyAlignment="1" applyProtection="1">
      <alignment/>
      <protection locked="0"/>
    </xf>
    <xf numFmtId="3" fontId="6" fillId="0" borderId="94" xfId="67" applyNumberFormat="1" applyFont="1" applyFill="1" applyBorder="1" applyAlignment="1" applyProtection="1">
      <alignment/>
      <protection locked="0"/>
    </xf>
    <xf numFmtId="3" fontId="6" fillId="0" borderId="73" xfId="67" applyNumberFormat="1" applyFont="1" applyFill="1" applyBorder="1" applyAlignment="1" applyProtection="1">
      <alignment/>
      <protection locked="0"/>
    </xf>
    <xf numFmtId="3" fontId="6" fillId="0" borderId="95" xfId="67" applyNumberFormat="1" applyFont="1" applyFill="1" applyBorder="1" applyAlignment="1" applyProtection="1">
      <alignment/>
      <protection locked="0"/>
    </xf>
    <xf numFmtId="3" fontId="6" fillId="0" borderId="17" xfId="67" applyNumberFormat="1" applyFont="1" applyFill="1" applyBorder="1" applyAlignment="1" applyProtection="1">
      <alignment/>
      <protection locked="0"/>
    </xf>
    <xf numFmtId="3" fontId="6" fillId="0" borderId="58" xfId="67" applyNumberFormat="1" applyFont="1" applyFill="1" applyBorder="1" applyAlignment="1" applyProtection="1">
      <alignment/>
      <protection locked="0"/>
    </xf>
    <xf numFmtId="3" fontId="6" fillId="0" borderId="52" xfId="67" applyNumberFormat="1" applyFont="1" applyFill="1" applyBorder="1" applyAlignment="1" applyProtection="1">
      <alignment/>
      <protection locked="0"/>
    </xf>
    <xf numFmtId="3" fontId="6" fillId="0" borderId="43" xfId="67" applyNumberFormat="1" applyFont="1" applyFill="1" applyBorder="1" applyAlignment="1" applyProtection="1">
      <alignment/>
      <protection locked="0"/>
    </xf>
    <xf numFmtId="3" fontId="6" fillId="0" borderId="74" xfId="67" applyNumberFormat="1" applyFont="1" applyFill="1" applyBorder="1" applyAlignment="1" applyProtection="1">
      <alignment/>
      <protection locked="0"/>
    </xf>
    <xf numFmtId="3" fontId="6" fillId="0" borderId="76" xfId="67" applyNumberFormat="1" applyFont="1" applyFill="1" applyBorder="1" applyAlignment="1" applyProtection="1">
      <alignment/>
      <protection locked="0"/>
    </xf>
    <xf numFmtId="3" fontId="6" fillId="24" borderId="33" xfId="0" applyNumberFormat="1" applyFont="1" applyFill="1" applyBorder="1" applyAlignment="1">
      <alignment/>
    </xf>
    <xf numFmtId="3" fontId="6" fillId="0" borderId="33" xfId="0" applyNumberFormat="1" applyFont="1" applyFill="1" applyBorder="1" applyAlignment="1">
      <alignment/>
    </xf>
    <xf numFmtId="40" fontId="6" fillId="0" borderId="33" xfId="47" applyFont="1" applyBorder="1" applyAlignment="1">
      <alignment/>
    </xf>
    <xf numFmtId="38" fontId="6" fillId="0" borderId="33" xfId="47" applyNumberFormat="1" applyFont="1" applyBorder="1" applyAlignment="1">
      <alignment/>
    </xf>
    <xf numFmtId="4" fontId="6" fillId="0" borderId="33" xfId="0" applyNumberFormat="1" applyFont="1" applyBorder="1" applyAlignment="1">
      <alignment/>
    </xf>
    <xf numFmtId="10" fontId="6" fillId="0" borderId="33" xfId="71" applyNumberFormat="1" applyFont="1" applyBorder="1" applyAlignment="1">
      <alignment/>
    </xf>
    <xf numFmtId="0" fontId="6" fillId="0" borderId="96"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3" fillId="0" borderId="0" xfId="61" applyAlignment="1">
      <alignment vertical="center"/>
      <protection/>
    </xf>
    <xf numFmtId="179" fontId="34" fillId="0" borderId="0" xfId="61" applyFont="1" applyAlignment="1">
      <alignment vertical="center"/>
      <protection/>
    </xf>
    <xf numFmtId="179" fontId="33" fillId="0" borderId="0" xfId="61" applyFill="1" applyAlignment="1">
      <alignment vertical="center"/>
      <protection/>
    </xf>
    <xf numFmtId="179" fontId="16" fillId="0" borderId="0" xfId="61" applyFont="1" applyAlignment="1" applyProtection="1">
      <alignment horizontal="left" vertical="center"/>
      <protection/>
    </xf>
    <xf numFmtId="179" fontId="6" fillId="0" borderId="0" xfId="61" applyFont="1" applyAlignment="1" applyProtection="1">
      <alignment horizontal="left" vertical="top"/>
      <protection/>
    </xf>
    <xf numFmtId="179" fontId="38" fillId="0" borderId="0" xfId="61" applyFont="1" applyAlignment="1">
      <alignment vertical="top"/>
      <protection/>
    </xf>
    <xf numFmtId="179" fontId="38" fillId="0" borderId="0" xfId="61" applyFont="1" applyAlignment="1">
      <alignment vertical="center"/>
      <protection/>
    </xf>
    <xf numFmtId="179" fontId="33" fillId="0" borderId="0" xfId="62" applyNumberFormat="1" applyFont="1" applyAlignment="1">
      <alignment vertical="center"/>
      <protection/>
    </xf>
    <xf numFmtId="179" fontId="40" fillId="0" borderId="0" xfId="61" applyFont="1" applyAlignment="1">
      <alignment vertical="center"/>
      <protection/>
    </xf>
    <xf numFmtId="179" fontId="13" fillId="0" borderId="0" xfId="61" applyFont="1" applyAlignment="1" applyProtection="1">
      <alignment horizontal="left" vertical="center"/>
      <protection/>
    </xf>
    <xf numFmtId="0" fontId="15" fillId="0" borderId="73" xfId="0" applyFont="1" applyFill="1" applyBorder="1" applyAlignment="1" applyProtection="1">
      <alignment horizontal="center"/>
      <protection/>
    </xf>
    <xf numFmtId="0" fontId="15" fillId="0" borderId="43" xfId="0" applyFont="1" applyFill="1" applyBorder="1" applyAlignment="1" applyProtection="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2" fillId="0" borderId="33" xfId="0" applyNumberFormat="1" applyFont="1" applyBorder="1" applyAlignment="1">
      <alignment horizontal="center"/>
    </xf>
    <xf numFmtId="3" fontId="9" fillId="0" borderId="33" xfId="0" applyNumberFormat="1" applyFont="1" applyFill="1" applyBorder="1" applyAlignment="1">
      <alignment/>
    </xf>
    <xf numFmtId="0" fontId="9" fillId="0" borderId="33" xfId="0" applyFont="1" applyFill="1" applyBorder="1" applyAlignment="1">
      <alignment horizontal="center"/>
    </xf>
    <xf numFmtId="0" fontId="5" fillId="0" borderId="0" xfId="0" applyFont="1" applyAlignment="1" applyProtection="1">
      <alignment horizontal="right" vertical="top"/>
      <protection/>
    </xf>
    <xf numFmtId="0" fontId="6" fillId="0" borderId="0" xfId="0" applyFont="1" applyAlignment="1" applyProtection="1">
      <alignment/>
      <protection/>
    </xf>
    <xf numFmtId="0" fontId="0" fillId="0" borderId="0" xfId="0" applyAlignment="1" applyProtection="1">
      <alignment/>
      <protection/>
    </xf>
    <xf numFmtId="0" fontId="6" fillId="0" borderId="35" xfId="0" applyFont="1" applyFill="1" applyBorder="1" applyAlignment="1">
      <alignment horizontal="centerContinuous"/>
    </xf>
    <xf numFmtId="0" fontId="6" fillId="0" borderId="97" xfId="0" applyFont="1" applyFill="1" applyBorder="1" applyAlignment="1">
      <alignment horizontal="center"/>
    </xf>
    <xf numFmtId="179" fontId="16" fillId="0" borderId="0" xfId="61" applyFont="1" applyAlignment="1" applyProtection="1">
      <alignment vertical="center"/>
      <protection/>
    </xf>
    <xf numFmtId="179" fontId="35" fillId="0" borderId="0" xfId="61" applyFont="1" applyAlignment="1" applyProtection="1">
      <alignment vertical="center"/>
      <protection/>
    </xf>
    <xf numFmtId="179" fontId="33" fillId="0" borderId="0" xfId="61" applyAlignment="1" applyProtection="1">
      <alignment vertical="center"/>
      <protection/>
    </xf>
    <xf numFmtId="179" fontId="16" fillId="0" borderId="0" xfId="61" applyFont="1" applyFill="1" applyBorder="1" applyAlignment="1" applyProtection="1">
      <alignment vertical="center"/>
      <protection/>
    </xf>
    <xf numFmtId="0" fontId="6" fillId="0" borderId="0" xfId="59" applyFont="1" applyAlignment="1" applyProtection="1">
      <alignment vertical="center"/>
      <protection/>
    </xf>
    <xf numFmtId="179" fontId="6" fillId="0" borderId="0" xfId="61" applyFont="1" applyAlignment="1" applyProtection="1">
      <alignment vertical="top"/>
      <protection/>
    </xf>
    <xf numFmtId="179" fontId="38" fillId="0" borderId="0" xfId="61" applyFont="1" applyAlignment="1" applyProtection="1">
      <alignment vertical="top"/>
      <protection/>
    </xf>
    <xf numFmtId="179" fontId="9" fillId="0" borderId="0" xfId="61" applyFont="1" applyAlignment="1" applyProtection="1">
      <alignment vertical="center"/>
      <protection/>
    </xf>
    <xf numFmtId="179" fontId="38" fillId="0" borderId="0" xfId="61" applyFont="1" applyAlignment="1" applyProtection="1">
      <alignment vertical="center"/>
      <protection/>
    </xf>
    <xf numFmtId="179" fontId="6" fillId="0" borderId="0" xfId="61" applyFont="1" applyAlignment="1" applyProtection="1">
      <alignment vertical="center"/>
      <protection/>
    </xf>
    <xf numFmtId="179" fontId="39" fillId="0" borderId="0" xfId="61" applyFont="1" applyAlignment="1" applyProtection="1">
      <alignment horizontal="left" vertical="center" wrapText="1"/>
      <protection/>
    </xf>
    <xf numFmtId="179" fontId="16" fillId="0" borderId="0" xfId="61" applyFont="1" applyFill="1" applyAlignment="1" applyProtection="1">
      <alignment vertical="center"/>
      <protection/>
    </xf>
    <xf numFmtId="0" fontId="37"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3" fillId="0" borderId="0" xfId="59" applyFont="1" applyFill="1" applyBorder="1" applyAlignment="1" applyProtection="1">
      <alignment horizontal="center" vertical="center"/>
      <protection/>
    </xf>
    <xf numFmtId="179" fontId="13" fillId="0" borderId="0" xfId="62" applyNumberFormat="1" applyFont="1" applyAlignment="1" applyProtection="1">
      <alignment vertical="center"/>
      <protection/>
    </xf>
    <xf numFmtId="179" fontId="21" fillId="0" borderId="0" xfId="62" applyNumberFormat="1" applyFont="1" applyAlignment="1" applyProtection="1">
      <alignment vertical="center"/>
      <protection/>
    </xf>
    <xf numFmtId="179" fontId="16"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9" fontId="16" fillId="0" borderId="0" xfId="62" applyNumberFormat="1" applyFont="1" applyBorder="1" applyAlignment="1" applyProtection="1">
      <alignment vertical="center"/>
      <protection/>
    </xf>
    <xf numFmtId="179" fontId="40" fillId="0" borderId="0" xfId="61" applyFont="1" applyAlignment="1" applyProtection="1">
      <alignment vertical="center"/>
      <protection/>
    </xf>
    <xf numFmtId="179" fontId="16" fillId="0" borderId="0" xfId="61" applyFont="1" applyBorder="1" applyAlignment="1" applyProtection="1">
      <alignment vertical="center"/>
      <protection/>
    </xf>
    <xf numFmtId="0" fontId="16" fillId="0" borderId="0" xfId="62" applyProtection="1">
      <alignment/>
      <protection/>
    </xf>
    <xf numFmtId="179" fontId="8" fillId="0" borderId="33" xfId="61" applyFont="1" applyFill="1" applyBorder="1" applyAlignment="1" applyProtection="1">
      <alignment horizontal="center" vertical="center"/>
      <protection/>
    </xf>
    <xf numFmtId="179" fontId="33" fillId="0" borderId="0" xfId="61" applyFont="1" applyAlignment="1" applyProtection="1">
      <alignment vertical="center"/>
      <protection/>
    </xf>
    <xf numFmtId="0" fontId="0" fillId="0" borderId="0" xfId="60" applyAlignment="1" applyProtection="1">
      <alignment vertical="center"/>
      <protection/>
    </xf>
    <xf numFmtId="179" fontId="41" fillId="0" borderId="0" xfId="61"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4" fillId="0" borderId="0" xfId="61" applyNumberFormat="1" applyFont="1" applyAlignment="1" applyProtection="1">
      <alignment vertical="center"/>
      <protection/>
    </xf>
    <xf numFmtId="179" fontId="43" fillId="0" borderId="0" xfId="61" applyFont="1" applyAlignment="1" applyProtection="1">
      <alignment vertical="center"/>
      <protection/>
    </xf>
    <xf numFmtId="204" fontId="33" fillId="0" borderId="0" xfId="61" applyNumberFormat="1" applyAlignment="1" applyProtection="1">
      <alignment vertical="center"/>
      <protection locked="0"/>
    </xf>
    <xf numFmtId="0" fontId="6" fillId="0" borderId="73" xfId="68" applyFont="1" applyFill="1" applyBorder="1" applyAlignment="1">
      <alignment horizontal="centerContinuous" vertical="center" wrapText="1"/>
      <protection/>
    </xf>
    <xf numFmtId="0" fontId="17" fillId="0" borderId="81" xfId="68" applyFont="1" applyFill="1" applyBorder="1" applyAlignment="1" applyProtection="1">
      <alignment horizontal="centerContinuous" vertical="center" wrapText="1"/>
      <protection/>
    </xf>
    <xf numFmtId="0" fontId="17" fillId="0" borderId="98" xfId="68" applyFont="1" applyFill="1" applyBorder="1" applyAlignment="1" applyProtection="1">
      <alignment horizontal="centerContinuous" vertical="center" wrapText="1"/>
      <protection/>
    </xf>
    <xf numFmtId="0" fontId="18" fillId="0" borderId="99"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3" xfId="0" applyNumberFormat="1" applyFont="1" applyFill="1" applyBorder="1" applyAlignment="1" applyProtection="1">
      <alignment horizontal="center" vertical="center" wrapText="1"/>
      <protection/>
    </xf>
    <xf numFmtId="1" fontId="14" fillId="0" borderId="33"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3" xfId="0" applyNumberFormat="1" applyFont="1" applyFill="1" applyBorder="1" applyAlignment="1" applyProtection="1">
      <alignment horizontal="center" vertical="center" wrapText="1"/>
      <protection/>
    </xf>
    <xf numFmtId="3" fontId="14" fillId="0" borderId="33" xfId="0" applyNumberFormat="1" applyFont="1" applyFill="1" applyBorder="1" applyAlignment="1" applyProtection="1">
      <alignment horizontal="center" vertical="center" wrapText="1"/>
      <protection/>
    </xf>
    <xf numFmtId="3" fontId="6" fillId="0" borderId="33" xfId="0" applyNumberFormat="1" applyFont="1" applyBorder="1" applyAlignment="1">
      <alignment/>
    </xf>
    <xf numFmtId="0" fontId="44" fillId="0" borderId="0" xfId="0" applyFont="1" applyAlignment="1">
      <alignment/>
    </xf>
    <xf numFmtId="38" fontId="44" fillId="0" borderId="0" xfId="0" applyNumberFormat="1" applyFont="1" applyAlignment="1">
      <alignment/>
    </xf>
    <xf numFmtId="0" fontId="45" fillId="0" borderId="0" xfId="0" applyFont="1" applyAlignment="1">
      <alignment/>
    </xf>
    <xf numFmtId="0" fontId="0" fillId="0" borderId="0" xfId="0" applyFont="1" applyAlignment="1">
      <alignment/>
    </xf>
    <xf numFmtId="0" fontId="0" fillId="0" borderId="0" xfId="0" applyFont="1" applyAlignment="1">
      <alignment/>
    </xf>
    <xf numFmtId="10" fontId="0" fillId="0" borderId="85" xfId="71" applyNumberFormat="1" applyFont="1" applyBorder="1" applyAlignment="1">
      <alignment horizontal="center"/>
    </xf>
    <xf numFmtId="10" fontId="0" fillId="0" borderId="64" xfId="71" applyNumberFormat="1" applyFont="1" applyBorder="1" applyAlignment="1">
      <alignment horizontal="center"/>
    </xf>
    <xf numFmtId="10" fontId="0" fillId="0" borderId="100" xfId="71" applyNumberFormat="1" applyFont="1" applyBorder="1" applyAlignment="1">
      <alignment horizontal="center"/>
    </xf>
    <xf numFmtId="10" fontId="25" fillId="0" borderId="56" xfId="71" applyNumberFormat="1" applyFont="1" applyBorder="1" applyAlignment="1">
      <alignment horizontal="center" wrapText="1"/>
    </xf>
    <xf numFmtId="10" fontId="0" fillId="0" borderId="56" xfId="71" applyNumberFormat="1" applyFont="1" applyBorder="1" applyAlignment="1">
      <alignment horizontal="center"/>
    </xf>
    <xf numFmtId="10" fontId="0" fillId="0" borderId="52" xfId="71" applyNumberFormat="1" applyFont="1" applyBorder="1" applyAlignment="1">
      <alignment horizontal="center"/>
    </xf>
    <xf numFmtId="206" fontId="6" fillId="24" borderId="58" xfId="0" applyNumberFormat="1" applyFont="1" applyFill="1" applyBorder="1" applyAlignment="1">
      <alignment/>
    </xf>
    <xf numFmtId="206" fontId="6" fillId="24" borderId="85" xfId="0" applyNumberFormat="1" applyFont="1" applyFill="1" applyBorder="1" applyAlignment="1">
      <alignment/>
    </xf>
    <xf numFmtId="206" fontId="6" fillId="0" borderId="101" xfId="0" applyNumberFormat="1" applyFont="1" applyFill="1" applyBorder="1" applyAlignment="1">
      <alignment/>
    </xf>
    <xf numFmtId="206" fontId="6" fillId="0" borderId="102" xfId="0" applyNumberFormat="1" applyFont="1" applyFill="1" applyBorder="1" applyAlignment="1">
      <alignment/>
    </xf>
    <xf numFmtId="206" fontId="6" fillId="0" borderId="103" xfId="0" applyNumberFormat="1" applyFont="1" applyFill="1" applyBorder="1" applyAlignment="1">
      <alignment/>
    </xf>
    <xf numFmtId="206" fontId="6" fillId="0" borderId="48" xfId="63" applyNumberFormat="1" applyFont="1" applyFill="1" applyBorder="1">
      <alignment/>
      <protection/>
    </xf>
    <xf numFmtId="206" fontId="6" fillId="0" borderId="102" xfId="63" applyNumberFormat="1" applyFont="1" applyFill="1" applyBorder="1">
      <alignment/>
      <protection/>
    </xf>
    <xf numFmtId="206" fontId="6" fillId="0" borderId="101" xfId="63" applyNumberFormat="1" applyFont="1" applyFill="1" applyBorder="1">
      <alignment/>
      <protection/>
    </xf>
    <xf numFmtId="206" fontId="6" fillId="24" borderId="59" xfId="0" applyNumberFormat="1" applyFont="1" applyFill="1" applyBorder="1" applyAlignment="1">
      <alignment/>
    </xf>
    <xf numFmtId="206" fontId="6" fillId="24" borderId="104" xfId="0" applyNumberFormat="1" applyFont="1" applyFill="1" applyBorder="1" applyAlignment="1">
      <alignment vertical="center"/>
    </xf>
    <xf numFmtId="206" fontId="6" fillId="0" borderId="101" xfId="0" applyNumberFormat="1" applyFont="1" applyFill="1" applyBorder="1" applyAlignment="1" applyProtection="1">
      <alignment vertical="center"/>
      <protection/>
    </xf>
    <xf numFmtId="206" fontId="6" fillId="0" borderId="105" xfId="0" applyNumberFormat="1" applyFont="1" applyFill="1" applyBorder="1" applyAlignment="1" applyProtection="1">
      <alignment vertical="center"/>
      <protection/>
    </xf>
    <xf numFmtId="206" fontId="6" fillId="0" borderId="81" xfId="63" applyNumberFormat="1" applyFont="1" applyFill="1" applyBorder="1" applyProtection="1">
      <alignment/>
      <protection/>
    </xf>
    <xf numFmtId="206" fontId="6" fillId="0" borderId="84" xfId="63" applyNumberFormat="1" applyFont="1" applyFill="1" applyBorder="1" applyProtection="1">
      <alignment/>
      <protection/>
    </xf>
    <xf numFmtId="206" fontId="6" fillId="0" borderId="60" xfId="63" applyNumberFormat="1" applyFont="1" applyFill="1" applyBorder="1" applyProtection="1">
      <alignment/>
      <protection/>
    </xf>
    <xf numFmtId="206" fontId="6" fillId="0" borderId="85" xfId="63" applyNumberFormat="1" applyFont="1" applyFill="1" applyBorder="1" applyProtection="1">
      <alignment/>
      <protection/>
    </xf>
    <xf numFmtId="206" fontId="6" fillId="0" borderId="101" xfId="63" applyNumberFormat="1" applyFont="1" applyFill="1" applyBorder="1" applyProtection="1">
      <alignment/>
      <protection/>
    </xf>
    <xf numFmtId="206" fontId="6" fillId="0" borderId="102" xfId="63" applyNumberFormat="1" applyFont="1" applyFill="1" applyBorder="1" applyProtection="1">
      <alignment/>
      <protection/>
    </xf>
    <xf numFmtId="206" fontId="6" fillId="0" borderId="75" xfId="64" applyNumberFormat="1" applyFont="1" applyFill="1" applyBorder="1" applyAlignment="1" applyProtection="1">
      <alignment/>
      <protection/>
    </xf>
    <xf numFmtId="206" fontId="6" fillId="0" borderId="64" xfId="64" applyNumberFormat="1" applyFont="1" applyFill="1" applyBorder="1" applyAlignment="1" applyProtection="1">
      <alignment/>
      <protection/>
    </xf>
    <xf numFmtId="206" fontId="6" fillId="24" borderId="101" xfId="64" applyNumberFormat="1" applyFont="1" applyFill="1" applyBorder="1" applyAlignment="1">
      <alignment/>
      <protection/>
    </xf>
    <xf numFmtId="206" fontId="6" fillId="24" borderId="103" xfId="64" applyNumberFormat="1" applyFont="1" applyFill="1" applyBorder="1" applyAlignment="1">
      <alignment/>
      <protection/>
    </xf>
    <xf numFmtId="206" fontId="6" fillId="24" borderId="102" xfId="64" applyNumberFormat="1" applyFont="1" applyFill="1" applyBorder="1" applyAlignment="1">
      <alignment/>
      <protection/>
    </xf>
    <xf numFmtId="206" fontId="6" fillId="24" borderId="101" xfId="65" applyNumberFormat="1" applyFont="1" applyFill="1" applyBorder="1">
      <alignment/>
      <protection/>
    </xf>
    <xf numFmtId="206" fontId="6" fillId="24" borderId="102" xfId="65" applyNumberFormat="1" applyFont="1" applyFill="1" applyBorder="1">
      <alignment/>
      <protection/>
    </xf>
    <xf numFmtId="206" fontId="6" fillId="24" borderId="103" xfId="65" applyNumberFormat="1" applyFont="1" applyFill="1" applyBorder="1">
      <alignment/>
      <protection/>
    </xf>
    <xf numFmtId="206" fontId="6" fillId="24" borderId="74" xfId="65" applyNumberFormat="1" applyFont="1" applyFill="1" applyBorder="1">
      <alignment/>
      <protection/>
    </xf>
    <xf numFmtId="206" fontId="6" fillId="24" borderId="106" xfId="65" applyNumberFormat="1" applyFont="1" applyFill="1" applyBorder="1">
      <alignment/>
      <protection/>
    </xf>
    <xf numFmtId="206" fontId="6" fillId="24" borderId="62" xfId="65" applyNumberFormat="1" applyFont="1" applyFill="1" applyBorder="1">
      <alignment/>
      <protection/>
    </xf>
    <xf numFmtId="206" fontId="6" fillId="24" borderId="81" xfId="66" applyNumberFormat="1" applyFont="1" applyFill="1" applyBorder="1">
      <alignment/>
      <protection/>
    </xf>
    <xf numFmtId="206" fontId="6" fillId="24" borderId="106" xfId="66" applyNumberFormat="1" applyFont="1" applyFill="1" applyBorder="1">
      <alignment/>
      <protection/>
    </xf>
    <xf numFmtId="206" fontId="6" fillId="24" borderId="60" xfId="66" applyNumberFormat="1" applyFont="1" applyFill="1" applyBorder="1">
      <alignment/>
      <protection/>
    </xf>
    <xf numFmtId="206" fontId="6" fillId="24" borderId="62" xfId="66" applyNumberFormat="1" applyFont="1" applyFill="1" applyBorder="1">
      <alignment/>
      <protection/>
    </xf>
    <xf numFmtId="206" fontId="6" fillId="24" borderId="101" xfId="66" applyNumberFormat="1" applyFont="1" applyFill="1" applyBorder="1">
      <alignment/>
      <protection/>
    </xf>
    <xf numFmtId="206" fontId="6" fillId="24" borderId="103" xfId="66" applyNumberFormat="1" applyFont="1" applyFill="1" applyBorder="1">
      <alignment/>
      <protection/>
    </xf>
    <xf numFmtId="206" fontId="6" fillId="24" borderId="102" xfId="66" applyNumberFormat="1" applyFont="1" applyFill="1" applyBorder="1">
      <alignment/>
      <protection/>
    </xf>
    <xf numFmtId="206" fontId="6" fillId="24" borderId="75" xfId="67" applyNumberFormat="1" applyFont="1" applyFill="1" applyBorder="1" applyAlignment="1">
      <alignment/>
      <protection/>
    </xf>
    <xf numFmtId="206" fontId="6" fillId="24" borderId="71" xfId="67" applyNumberFormat="1" applyFont="1" applyFill="1" applyBorder="1" applyAlignment="1">
      <alignment/>
      <protection/>
    </xf>
    <xf numFmtId="206" fontId="6" fillId="24" borderId="101" xfId="67" applyNumberFormat="1" applyFont="1" applyFill="1" applyBorder="1" applyAlignment="1">
      <alignment/>
      <protection/>
    </xf>
    <xf numFmtId="206" fontId="6" fillId="24" borderId="102" xfId="67" applyNumberFormat="1" applyFont="1" applyFill="1" applyBorder="1" applyAlignment="1">
      <alignment/>
      <protection/>
    </xf>
    <xf numFmtId="206" fontId="6" fillId="24" borderId="81" xfId="0" applyNumberFormat="1" applyFont="1" applyFill="1" applyBorder="1" applyAlignment="1">
      <alignment/>
    </xf>
    <xf numFmtId="206" fontId="6" fillId="24" borderId="84" xfId="0" applyNumberFormat="1" applyFont="1" applyFill="1" applyBorder="1" applyAlignment="1">
      <alignment/>
    </xf>
    <xf numFmtId="206" fontId="6" fillId="24" borderId="60" xfId="0" applyNumberFormat="1" applyFont="1" applyFill="1" applyBorder="1" applyAlignment="1">
      <alignment/>
    </xf>
    <xf numFmtId="206" fontId="6" fillId="24" borderId="85" xfId="0" applyNumberFormat="1" applyFont="1" applyFill="1" applyBorder="1" applyAlignment="1">
      <alignment/>
    </xf>
    <xf numFmtId="206" fontId="6" fillId="0" borderId="101" xfId="0" applyNumberFormat="1" applyFont="1" applyFill="1" applyBorder="1" applyAlignment="1" applyProtection="1">
      <alignment/>
      <protection/>
    </xf>
    <xf numFmtId="206" fontId="6" fillId="0" borderId="103" xfId="0" applyNumberFormat="1" applyFont="1" applyFill="1" applyBorder="1" applyAlignment="1" applyProtection="1">
      <alignment/>
      <protection/>
    </xf>
    <xf numFmtId="206" fontId="6" fillId="0" borderId="102" xfId="0" applyNumberFormat="1" applyFont="1" applyFill="1" applyBorder="1" applyAlignment="1" applyProtection="1">
      <alignment/>
      <protection/>
    </xf>
    <xf numFmtId="206" fontId="6" fillId="24" borderId="101" xfId="68" applyNumberFormat="1" applyFont="1" applyFill="1" applyBorder="1">
      <alignment/>
      <protection/>
    </xf>
    <xf numFmtId="206" fontId="6" fillId="24" borderId="102" xfId="68" applyNumberFormat="1" applyFont="1" applyFill="1" applyBorder="1">
      <alignment/>
      <protection/>
    </xf>
    <xf numFmtId="206" fontId="6" fillId="24" borderId="103" xfId="68" applyNumberFormat="1" applyFont="1" applyFill="1" applyBorder="1">
      <alignment/>
      <protection/>
    </xf>
    <xf numFmtId="0" fontId="6" fillId="0" borderId="107" xfId="68" applyFont="1" applyFill="1" applyBorder="1" applyAlignment="1">
      <alignment horizontal="centerContinuous" vertical="center" wrapText="1"/>
      <protection/>
    </xf>
    <xf numFmtId="206" fontId="6" fillId="24" borderId="108" xfId="0" applyNumberFormat="1" applyFont="1" applyFill="1" applyBorder="1" applyAlignment="1">
      <alignment/>
    </xf>
    <xf numFmtId="206" fontId="6" fillId="24" borderId="109" xfId="0" applyNumberFormat="1" applyFont="1" applyFill="1" applyBorder="1" applyAlignment="1">
      <alignment/>
    </xf>
    <xf numFmtId="206" fontId="6" fillId="24" borderId="59" xfId="0" applyNumberFormat="1" applyFont="1" applyFill="1" applyBorder="1" applyAlignment="1">
      <alignment/>
    </xf>
    <xf numFmtId="206" fontId="6" fillId="24" borderId="101" xfId="0" applyNumberFormat="1" applyFont="1" applyFill="1" applyBorder="1" applyAlignment="1">
      <alignment/>
    </xf>
    <xf numFmtId="206" fontId="6" fillId="24" borderId="62" xfId="0" applyNumberFormat="1" applyFont="1" applyFill="1" applyBorder="1" applyAlignment="1">
      <alignment/>
    </xf>
    <xf numFmtId="0" fontId="35" fillId="0" borderId="0" xfId="61" applyNumberFormat="1" applyFont="1" applyAlignment="1" applyProtection="1">
      <alignment vertical="center"/>
      <protection/>
    </xf>
    <xf numFmtId="0" fontId="19" fillId="0" borderId="23" xfId="68" applyFont="1" applyFill="1" applyBorder="1" applyAlignment="1">
      <alignment horizontal="center"/>
      <protection/>
    </xf>
    <xf numFmtId="0" fontId="33" fillId="0" borderId="0" xfId="61" applyNumberFormat="1" applyAlignment="1" applyProtection="1">
      <alignment vertical="center"/>
      <protection locked="0"/>
    </xf>
    <xf numFmtId="0" fontId="24" fillId="0" borderId="110" xfId="0" applyFont="1" applyBorder="1" applyAlignment="1">
      <alignment horizontal="left" vertical="center" wrapText="1"/>
    </xf>
    <xf numFmtId="0" fontId="18" fillId="0" borderId="24" xfId="0" applyFont="1" applyFill="1" applyBorder="1" applyAlignment="1" applyProtection="1">
      <alignment horizontal="center" vertical="center" wrapText="1"/>
      <protection/>
    </xf>
    <xf numFmtId="0" fontId="18" fillId="0" borderId="111" xfId="0" applyFont="1" applyFill="1" applyBorder="1" applyAlignment="1" applyProtection="1">
      <alignment horizontal="center" vertical="center" wrapText="1"/>
      <protection/>
    </xf>
    <xf numFmtId="0" fontId="46" fillId="0" borderId="29" xfId="0" applyFont="1" applyFill="1" applyBorder="1" applyAlignment="1">
      <alignment horizontal="center" vertical="center" wrapText="1"/>
    </xf>
    <xf numFmtId="0" fontId="46" fillId="0" borderId="112" xfId="0" applyFont="1" applyFill="1" applyBorder="1" applyAlignment="1">
      <alignment horizontal="center" vertical="center" wrapText="1"/>
    </xf>
    <xf numFmtId="0" fontId="47" fillId="0" borderId="0" xfId="0" applyFont="1" applyAlignment="1">
      <alignment/>
    </xf>
    <xf numFmtId="0" fontId="17" fillId="0" borderId="16" xfId="68" applyFont="1" applyFill="1" applyBorder="1" applyAlignment="1" applyProtection="1">
      <alignment horizontal="centerContinuous" vertical="center" wrapText="1"/>
      <protection/>
    </xf>
    <xf numFmtId="0" fontId="6" fillId="0" borderId="17" xfId="68" applyFont="1" applyFill="1" applyBorder="1" applyAlignment="1">
      <alignment horizontal="centerContinuous" vertical="center" wrapText="1"/>
      <protection/>
    </xf>
    <xf numFmtId="2" fontId="6" fillId="0" borderId="113" xfId="0" applyNumberFormat="1" applyFont="1" applyBorder="1" applyAlignment="1">
      <alignment horizontal="center" vertical="center" wrapText="1"/>
    </xf>
    <xf numFmtId="179" fontId="13" fillId="0" borderId="0" xfId="61" applyFont="1" applyAlignment="1" applyProtection="1">
      <alignment horizontal="left" vertical="center" wrapText="1"/>
      <protection/>
    </xf>
    <xf numFmtId="204" fontId="33" fillId="0" borderId="0" xfId="61" applyNumberFormat="1" applyFont="1" applyFill="1" applyAlignment="1" applyProtection="1">
      <alignment vertical="center"/>
      <protection/>
    </xf>
    <xf numFmtId="204" fontId="34" fillId="0" borderId="0" xfId="61" applyNumberFormat="1" applyFont="1" applyFill="1" applyAlignment="1" applyProtection="1">
      <alignment vertical="center"/>
      <protection/>
    </xf>
    <xf numFmtId="179" fontId="49" fillId="0" borderId="0" xfId="61" applyFont="1" applyAlignment="1">
      <alignment horizontal="center" vertical="center" wrapText="1"/>
      <protection/>
    </xf>
    <xf numFmtId="0" fontId="49" fillId="0" borderId="0" xfId="61" applyNumberFormat="1" applyFont="1" applyAlignment="1">
      <alignment horizontal="center" vertical="center" wrapText="1"/>
      <protection/>
    </xf>
    <xf numFmtId="49" fontId="51" fillId="0" borderId="53" xfId="36" applyNumberFormat="1" applyFont="1" applyBorder="1" applyAlignment="1" applyProtection="1">
      <alignment horizontal="left" vertical="center"/>
      <protection locked="0"/>
    </xf>
    <xf numFmtId="0" fontId="33" fillId="0" borderId="0" xfId="61" applyNumberFormat="1" applyAlignment="1">
      <alignment vertical="center"/>
      <protection/>
    </xf>
    <xf numFmtId="179" fontId="13" fillId="0" borderId="0" xfId="61" applyFont="1" applyBorder="1" applyAlignment="1" applyProtection="1">
      <alignment horizontal="left" vertical="center" wrapText="1"/>
      <protection/>
    </xf>
    <xf numFmtId="179" fontId="33" fillId="0" borderId="0" xfId="61" applyFont="1" applyAlignment="1">
      <alignment vertical="center"/>
      <protection/>
    </xf>
    <xf numFmtId="179" fontId="52" fillId="0" borderId="0" xfId="61" applyFont="1" applyAlignment="1" applyProtection="1">
      <alignment vertical="center"/>
      <protection/>
    </xf>
    <xf numFmtId="179" fontId="52" fillId="0" borderId="0" xfId="61" applyFont="1" applyAlignment="1">
      <alignment vertical="center"/>
      <protection/>
    </xf>
    <xf numFmtId="3" fontId="9" fillId="0" borderId="114" xfId="0" applyNumberFormat="1" applyFont="1" applyBorder="1" applyAlignment="1">
      <alignment horizontal="center"/>
    </xf>
    <xf numFmtId="214" fontId="6" fillId="24" borderId="108" xfId="0" applyNumberFormat="1" applyFont="1" applyFill="1" applyBorder="1" applyAlignment="1">
      <alignment/>
    </xf>
    <xf numFmtId="0" fontId="14" fillId="0" borderId="115" xfId="0" applyFont="1" applyBorder="1" applyAlignment="1">
      <alignment horizontal="center" vertical="center" wrapText="1"/>
    </xf>
    <xf numFmtId="0" fontId="14" fillId="0" borderId="116" xfId="0" applyFont="1" applyBorder="1" applyAlignment="1">
      <alignment horizontal="center" vertical="center" wrapText="1"/>
    </xf>
    <xf numFmtId="0" fontId="14" fillId="0" borderId="117" xfId="0" applyFont="1" applyBorder="1" applyAlignment="1">
      <alignment horizontal="center" vertical="center" wrapText="1"/>
    </xf>
    <xf numFmtId="179" fontId="16" fillId="0" borderId="0" xfId="61" applyFont="1" applyAlignment="1" applyProtection="1">
      <alignment vertical="top"/>
      <protection/>
    </xf>
    <xf numFmtId="179" fontId="16" fillId="0" borderId="0" xfId="61" applyFont="1" applyAlignment="1">
      <alignment vertical="top"/>
      <protection/>
    </xf>
    <xf numFmtId="206" fontId="6" fillId="0" borderId="118" xfId="63" applyNumberFormat="1" applyFont="1" applyFill="1" applyBorder="1">
      <alignment/>
      <protection/>
    </xf>
    <xf numFmtId="3" fontId="6" fillId="0" borderId="52" xfId="63" applyNumberFormat="1" applyFont="1" applyFill="1" applyBorder="1" applyProtection="1">
      <alignment/>
      <protection locked="0"/>
    </xf>
    <xf numFmtId="206" fontId="6" fillId="0" borderId="26" xfId="63" applyNumberFormat="1" applyFont="1" applyFill="1" applyBorder="1">
      <alignment/>
      <protection/>
    </xf>
    <xf numFmtId="3" fontId="6" fillId="0" borderId="81" xfId="63" applyNumberFormat="1" applyFont="1" applyFill="1" applyBorder="1" applyProtection="1">
      <alignment/>
      <protection locked="0"/>
    </xf>
    <xf numFmtId="206" fontId="6" fillId="0" borderId="118" xfId="63" applyNumberFormat="1" applyFont="1" applyFill="1" applyBorder="1" applyProtection="1">
      <alignment/>
      <protection/>
    </xf>
    <xf numFmtId="3" fontId="6" fillId="0" borderId="60" xfId="63" applyNumberFormat="1" applyFont="1" applyFill="1" applyBorder="1" applyProtection="1">
      <alignment/>
      <protection locked="0"/>
    </xf>
    <xf numFmtId="3" fontId="6" fillId="0" borderId="119" xfId="67" applyNumberFormat="1" applyFont="1" applyFill="1" applyBorder="1" applyAlignment="1" applyProtection="1">
      <alignment/>
      <protection locked="0"/>
    </xf>
    <xf numFmtId="3" fontId="6" fillId="0" borderId="72" xfId="67" applyNumberFormat="1" applyFont="1" applyFill="1" applyBorder="1" applyAlignment="1" applyProtection="1">
      <alignment/>
      <protection locked="0"/>
    </xf>
    <xf numFmtId="206" fontId="6" fillId="24" borderId="118" xfId="67" applyNumberFormat="1" applyFont="1" applyFill="1" applyBorder="1" applyAlignment="1">
      <alignment/>
      <protection/>
    </xf>
    <xf numFmtId="206" fontId="6" fillId="24" borderId="120" xfId="67" applyNumberFormat="1" applyFont="1" applyFill="1" applyBorder="1" applyAlignment="1">
      <alignment/>
      <protection/>
    </xf>
    <xf numFmtId="0" fontId="17" fillId="0" borderId="121" xfId="67" applyFont="1" applyFill="1" applyBorder="1" applyAlignment="1" applyProtection="1">
      <alignment horizontal="centerContinuous" vertical="center" wrapText="1"/>
      <protection/>
    </xf>
    <xf numFmtId="0" fontId="6" fillId="0" borderId="122" xfId="67" applyFont="1" applyFill="1" applyBorder="1" applyAlignment="1" applyProtection="1">
      <alignment horizontal="centerContinuous" vertical="center" wrapText="1"/>
      <protection/>
    </xf>
    <xf numFmtId="206" fontId="6" fillId="24" borderId="123" xfId="67" applyNumberFormat="1" applyFont="1" applyFill="1" applyBorder="1" applyAlignment="1">
      <alignment/>
      <protection/>
    </xf>
    <xf numFmtId="0" fontId="18" fillId="0" borderId="124" xfId="67" applyFont="1" applyFill="1" applyBorder="1" applyAlignment="1" applyProtection="1">
      <alignment horizontal="centerContinuous" vertical="center" wrapText="1"/>
      <protection/>
    </xf>
    <xf numFmtId="0" fontId="18" fillId="0" borderId="125" xfId="67" applyFont="1" applyFill="1" applyBorder="1" applyAlignment="1" applyProtection="1">
      <alignment horizontal="centerContinuous" vertical="center" wrapText="1"/>
      <protection/>
    </xf>
    <xf numFmtId="206" fontId="6" fillId="24" borderId="126" xfId="67" applyNumberFormat="1" applyFont="1" applyFill="1" applyBorder="1" applyAlignment="1">
      <alignment/>
      <protection/>
    </xf>
    <xf numFmtId="206" fontId="0" fillId="0" borderId="127" xfId="0" applyNumberFormat="1" applyBorder="1" applyAlignment="1">
      <alignment/>
    </xf>
    <xf numFmtId="206" fontId="6" fillId="0" borderId="103" xfId="63" applyNumberFormat="1" applyFont="1" applyFill="1" applyBorder="1" applyProtection="1">
      <alignment/>
      <protection/>
    </xf>
    <xf numFmtId="206" fontId="6" fillId="24" borderId="108" xfId="64" applyNumberFormat="1" applyFont="1" applyFill="1" applyBorder="1" applyAlignment="1">
      <alignment/>
      <protection/>
    </xf>
    <xf numFmtId="206" fontId="6" fillId="24" borderId="75" xfId="68" applyNumberFormat="1" applyFont="1" applyFill="1" applyBorder="1">
      <alignment/>
      <protection/>
    </xf>
    <xf numFmtId="0" fontId="19" fillId="0" borderId="92" xfId="68" applyFont="1" applyFill="1" applyBorder="1" applyAlignment="1" applyProtection="1">
      <alignment horizontal="center"/>
      <protection/>
    </xf>
    <xf numFmtId="206" fontId="6" fillId="24" borderId="71" xfId="68" applyNumberFormat="1" applyFont="1" applyFill="1" applyBorder="1">
      <alignment/>
      <protection/>
    </xf>
    <xf numFmtId="179" fontId="13" fillId="0" borderId="0" xfId="61" applyFont="1" applyFill="1" applyBorder="1" applyAlignment="1" applyProtection="1">
      <alignment vertical="center"/>
      <protection locked="0"/>
    </xf>
    <xf numFmtId="179" fontId="43" fillId="24" borderId="0" xfId="61" applyFont="1" applyFill="1" applyAlignment="1" applyProtection="1">
      <alignment vertical="center"/>
      <protection/>
    </xf>
    <xf numFmtId="179" fontId="16" fillId="24" borderId="0" xfId="61" applyFont="1" applyFill="1" applyBorder="1" applyAlignment="1" applyProtection="1">
      <alignment vertical="center"/>
      <protection/>
    </xf>
    <xf numFmtId="179" fontId="13" fillId="0" borderId="0" xfId="61" applyFont="1" applyFill="1" applyBorder="1" applyAlignment="1" applyProtection="1">
      <alignment vertical="center"/>
      <protection/>
    </xf>
    <xf numFmtId="179" fontId="33" fillId="0" borderId="0" xfId="61" applyBorder="1" applyAlignment="1">
      <alignment vertical="center"/>
      <protection/>
    </xf>
    <xf numFmtId="179" fontId="33" fillId="0" borderId="0" xfId="61" applyAlignment="1" applyProtection="1">
      <alignment vertical="center"/>
      <protection locked="0"/>
    </xf>
    <xf numFmtId="49" fontId="16" fillId="24" borderId="21" xfId="59" applyNumberFormat="1" applyFont="1" applyFill="1" applyBorder="1" applyAlignment="1" applyProtection="1">
      <alignment horizontal="left" vertical="center"/>
      <protection locked="0"/>
    </xf>
    <xf numFmtId="49" fontId="16" fillId="24" borderId="0" xfId="59" applyNumberFormat="1" applyFont="1" applyFill="1" applyBorder="1" applyAlignment="1" applyProtection="1">
      <alignment horizontal="left" vertical="center"/>
      <protection locked="0"/>
    </xf>
    <xf numFmtId="0" fontId="49" fillId="0" borderId="0" xfId="61" applyNumberFormat="1" applyFont="1" applyBorder="1" applyAlignment="1">
      <alignment horizontal="center" vertical="center" wrapText="1"/>
      <protection/>
    </xf>
    <xf numFmtId="179" fontId="8" fillId="0" borderId="0" xfId="61" applyFont="1" applyFill="1" applyBorder="1" applyAlignment="1" applyProtection="1">
      <alignment horizontal="center" vertical="center"/>
      <protection/>
    </xf>
    <xf numFmtId="3" fontId="0" fillId="0" borderId="106" xfId="0" applyNumberFormat="1" applyBorder="1" applyAlignment="1" applyProtection="1">
      <alignment/>
      <protection locked="0"/>
    </xf>
    <xf numFmtId="3" fontId="0" fillId="0" borderId="63"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6" fillId="0" borderId="0" xfId="61" applyNumberFormat="1" applyFont="1" applyAlignment="1" applyProtection="1">
      <alignment vertical="center"/>
      <protection/>
    </xf>
    <xf numFmtId="1" fontId="16" fillId="22" borderId="33" xfId="61" applyNumberFormat="1" applyFont="1" applyFill="1" applyBorder="1" applyAlignment="1" applyProtection="1">
      <alignment vertical="center"/>
      <protection locked="0"/>
    </xf>
    <xf numFmtId="179" fontId="33" fillId="0" borderId="0" xfId="61" applyBorder="1" applyAlignment="1" applyProtection="1">
      <alignment vertical="center"/>
      <protection/>
    </xf>
    <xf numFmtId="3" fontId="6" fillId="0" borderId="73" xfId="64" applyNumberFormat="1" applyFont="1" applyFill="1" applyBorder="1" applyProtection="1">
      <alignment/>
      <protection locked="0"/>
    </xf>
    <xf numFmtId="3" fontId="0" fillId="0" borderId="81" xfId="0" applyNumberFormat="1" applyBorder="1" applyAlignment="1" applyProtection="1">
      <alignment/>
      <protection locked="0"/>
    </xf>
    <xf numFmtId="3" fontId="6" fillId="0" borderId="43" xfId="64" applyNumberFormat="1" applyFont="1" applyFill="1" applyBorder="1" applyProtection="1">
      <alignment/>
      <protection locked="0"/>
    </xf>
    <xf numFmtId="3" fontId="0" fillId="0" borderId="75" xfId="0" applyNumberFormat="1" applyBorder="1" applyAlignment="1" applyProtection="1">
      <alignment/>
      <protection locked="0"/>
    </xf>
    <xf numFmtId="206" fontId="0" fillId="0" borderId="101" xfId="0" applyNumberFormat="1" applyBorder="1" applyAlignment="1">
      <alignment/>
    </xf>
    <xf numFmtId="0" fontId="24" fillId="0" borderId="0" xfId="0" applyFont="1" applyBorder="1" applyAlignment="1">
      <alignment horizontal="left" vertical="center" wrapText="1"/>
    </xf>
    <xf numFmtId="0" fontId="9" fillId="0" borderId="33" xfId="0" applyFont="1" applyFill="1" applyBorder="1" applyAlignment="1" applyProtection="1">
      <alignment horizontal="center" vertical="center"/>
      <protection/>
    </xf>
    <xf numFmtId="0" fontId="9" fillId="0" borderId="33" xfId="0" applyFont="1" applyBorder="1" applyAlignment="1">
      <alignment horizontal="center" vertical="center" wrapText="1"/>
    </xf>
    <xf numFmtId="0" fontId="6" fillId="0" borderId="33" xfId="0" applyFont="1" applyBorder="1" applyAlignment="1">
      <alignment horizontal="center" vertical="center" wrapText="1"/>
    </xf>
    <xf numFmtId="0" fontId="9" fillId="0" borderId="33" xfId="0" applyFont="1" applyFill="1" applyBorder="1" applyAlignment="1" applyProtection="1">
      <alignment horizontal="center" vertical="center" wrapText="1"/>
      <protection/>
    </xf>
    <xf numFmtId="0" fontId="22" fillId="0" borderId="33" xfId="0" applyFont="1" applyFill="1" applyBorder="1" applyAlignment="1" applyProtection="1">
      <alignment horizontal="center" vertical="center" wrapText="1"/>
      <protection/>
    </xf>
    <xf numFmtId="0" fontId="20" fillId="0" borderId="33" xfId="0" applyFont="1" applyFill="1" applyBorder="1" applyAlignment="1" applyProtection="1">
      <alignment horizontal="center" vertical="center" wrapText="1"/>
      <protection/>
    </xf>
    <xf numFmtId="0" fontId="73" fillId="0" borderId="33" xfId="0" applyFont="1" applyFill="1" applyBorder="1" applyAlignment="1" applyProtection="1">
      <alignment horizontal="center" vertical="center" wrapText="1"/>
      <protection/>
    </xf>
    <xf numFmtId="213" fontId="6" fillId="0" borderId="33" xfId="0" applyNumberFormat="1" applyFont="1" applyFill="1" applyBorder="1" applyAlignment="1" applyProtection="1">
      <alignment horizontal="center"/>
      <protection/>
    </xf>
    <xf numFmtId="213" fontId="6" fillId="0" borderId="33" xfId="47" applyNumberFormat="1" applyFont="1" applyBorder="1" applyAlignment="1">
      <alignment/>
    </xf>
    <xf numFmtId="212" fontId="6" fillId="0" borderId="33" xfId="0" applyNumberFormat="1" applyFont="1" applyBorder="1" applyAlignment="1">
      <alignment/>
    </xf>
    <xf numFmtId="212" fontId="9" fillId="0" borderId="33" xfId="0" applyNumberFormat="1" applyFont="1" applyBorder="1" applyAlignment="1">
      <alignment/>
    </xf>
    <xf numFmtId="212" fontId="74" fillId="0" borderId="33" xfId="0" applyNumberFormat="1" applyFont="1" applyBorder="1" applyAlignment="1">
      <alignment/>
    </xf>
    <xf numFmtId="0" fontId="18" fillId="0" borderId="128" xfId="68" applyFont="1" applyFill="1" applyBorder="1" applyAlignment="1" applyProtection="1">
      <alignment horizontal="centerContinuous" vertical="center"/>
      <protection/>
    </xf>
    <xf numFmtId="3" fontId="6" fillId="0" borderId="129" xfId="68" applyNumberFormat="1" applyFont="1" applyFill="1" applyBorder="1" applyProtection="1">
      <alignment/>
      <protection locked="0"/>
    </xf>
    <xf numFmtId="3" fontId="6" fillId="0" borderId="130" xfId="68" applyNumberFormat="1" applyFont="1" applyFill="1" applyBorder="1" applyProtection="1">
      <alignment/>
      <protection locked="0"/>
    </xf>
    <xf numFmtId="206" fontId="6" fillId="24" borderId="118" xfId="68" applyNumberFormat="1" applyFont="1" applyFill="1" applyBorder="1">
      <alignment/>
      <protection/>
    </xf>
    <xf numFmtId="0" fontId="18" fillId="0" borderId="131" xfId="68" applyFont="1" applyFill="1" applyBorder="1" applyAlignment="1" applyProtection="1">
      <alignment horizontal="centerContinuous" vertical="center"/>
      <protection/>
    </xf>
    <xf numFmtId="0" fontId="19" fillId="0" borderId="30" xfId="68" applyFont="1" applyFill="1" applyBorder="1" applyAlignment="1" applyProtection="1">
      <alignment horizontal="center"/>
      <protection/>
    </xf>
    <xf numFmtId="3" fontId="6" fillId="0" borderId="132" xfId="68" applyNumberFormat="1" applyFont="1" applyFill="1" applyBorder="1" applyProtection="1">
      <alignment/>
      <protection locked="0"/>
    </xf>
    <xf numFmtId="3" fontId="6" fillId="0" borderId="107" xfId="68" applyNumberFormat="1" applyFont="1" applyFill="1" applyBorder="1" applyProtection="1">
      <alignment/>
      <protection locked="0"/>
    </xf>
    <xf numFmtId="206" fontId="6" fillId="24" borderId="45" xfId="68" applyNumberFormat="1" applyFont="1" applyFill="1" applyBorder="1">
      <alignment/>
      <protection/>
    </xf>
    <xf numFmtId="3" fontId="6" fillId="0" borderId="133" xfId="68" applyNumberFormat="1" applyFont="1" applyFill="1" applyBorder="1" applyProtection="1">
      <alignment/>
      <protection locked="0"/>
    </xf>
    <xf numFmtId="0" fontId="19" fillId="0" borderId="134" xfId="68" applyFont="1" applyFill="1" applyBorder="1" applyAlignment="1" applyProtection="1">
      <alignment horizontal="center"/>
      <protection/>
    </xf>
    <xf numFmtId="206" fontId="6" fillId="24" borderId="123" xfId="68" applyNumberFormat="1" applyFont="1" applyFill="1" applyBorder="1">
      <alignment/>
      <protection/>
    </xf>
    <xf numFmtId="206" fontId="6" fillId="24" borderId="135" xfId="68" applyNumberFormat="1" applyFont="1" applyFill="1" applyBorder="1">
      <alignment/>
      <protection/>
    </xf>
    <xf numFmtId="0" fontId="14" fillId="0" borderId="20" xfId="63"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9" fillId="0" borderId="77" xfId="63" applyFont="1" applyFill="1" applyBorder="1" applyAlignment="1" applyProtection="1">
      <alignment horizontal="center"/>
      <protection/>
    </xf>
    <xf numFmtId="0" fontId="19" fillId="0" borderId="136" xfId="63" applyFont="1" applyFill="1" applyBorder="1" applyAlignment="1" applyProtection="1">
      <alignment horizontal="center"/>
      <protection/>
    </xf>
    <xf numFmtId="0" fontId="19" fillId="0" borderId="137" xfId="63" applyFont="1" applyFill="1" applyBorder="1" applyAlignment="1" applyProtection="1">
      <alignment horizontal="center"/>
      <protection/>
    </xf>
    <xf numFmtId="0" fontId="19" fillId="0" borderId="77" xfId="64" applyFont="1" applyFill="1" applyBorder="1" applyAlignment="1" applyProtection="1">
      <alignment horizontal="center"/>
      <protection/>
    </xf>
    <xf numFmtId="0" fontId="19" fillId="0" borderId="136" xfId="64" applyFont="1" applyFill="1" applyBorder="1" applyAlignment="1" applyProtection="1">
      <alignment horizontal="center"/>
      <protection/>
    </xf>
    <xf numFmtId="0" fontId="19" fillId="0" borderId="137"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61" applyFont="1" applyFill="1" applyAlignment="1" applyProtection="1">
      <alignment vertical="center" wrapText="1"/>
      <protection/>
    </xf>
    <xf numFmtId="0" fontId="18" fillId="0" borderId="111" xfId="0" applyFont="1" applyFill="1" applyBorder="1" applyAlignment="1" applyProtection="1">
      <alignment horizontal="center" vertical="center" wrapText="1"/>
      <protection/>
    </xf>
    <xf numFmtId="0" fontId="18" fillId="0" borderId="111" xfId="0" applyFont="1" applyFill="1" applyBorder="1" applyAlignment="1">
      <alignment horizontal="center" vertical="center" wrapText="1"/>
    </xf>
    <xf numFmtId="49" fontId="16" fillId="22" borderId="56" xfId="61" applyNumberFormat="1" applyFont="1" applyFill="1" applyBorder="1" applyAlignment="1" applyProtection="1">
      <alignment horizontal="left" vertical="center"/>
      <protection locked="0"/>
    </xf>
    <xf numFmtId="49" fontId="16" fillId="22" borderId="33" xfId="61" applyNumberFormat="1" applyFont="1" applyFill="1" applyBorder="1" applyAlignment="1" applyProtection="1">
      <alignment horizontal="left" vertical="center"/>
      <protection locked="0"/>
    </xf>
    <xf numFmtId="49" fontId="16" fillId="22" borderId="46" xfId="59" applyNumberFormat="1" applyFont="1" applyFill="1" applyBorder="1" applyAlignment="1" applyProtection="1">
      <alignment horizontal="left" vertical="center"/>
      <protection locked="0"/>
    </xf>
    <xf numFmtId="49" fontId="16" fillId="22" borderId="56" xfId="0" applyNumberFormat="1" applyFont="1" applyFill="1" applyBorder="1" applyAlignment="1" applyProtection="1">
      <alignment horizontal="left" vertical="center"/>
      <protection locked="0"/>
    </xf>
    <xf numFmtId="49" fontId="16" fillId="22" borderId="33" xfId="59" applyNumberFormat="1" applyFont="1" applyFill="1" applyBorder="1" applyAlignment="1" applyProtection="1">
      <alignment horizontal="left" vertical="center"/>
      <protection locked="0"/>
    </xf>
    <xf numFmtId="49" fontId="11" fillId="22" borderId="53" xfId="36" applyNumberFormat="1" applyFill="1" applyBorder="1" applyAlignment="1" applyProtection="1">
      <alignment horizontal="left" vertical="center"/>
      <protection locked="0"/>
    </xf>
    <xf numFmtId="49" fontId="16" fillId="22" borderId="33" xfId="0" applyNumberFormat="1" applyFont="1" applyFill="1" applyBorder="1" applyAlignment="1" applyProtection="1">
      <alignment horizontal="left"/>
      <protection locked="0"/>
    </xf>
    <xf numFmtId="0" fontId="6" fillId="0" borderId="102" xfId="68" applyFont="1" applyFill="1" applyBorder="1" applyAlignment="1" applyProtection="1">
      <alignment horizontal="center"/>
      <protection/>
    </xf>
    <xf numFmtId="0" fontId="15" fillId="0" borderId="33" xfId="0" applyFont="1" applyFill="1" applyBorder="1" applyAlignment="1" applyProtection="1">
      <alignment horizontal="center" vertical="center" wrapText="1"/>
      <protection/>
    </xf>
    <xf numFmtId="0" fontId="6" fillId="0" borderId="138" xfId="0" applyFont="1" applyFill="1" applyBorder="1" applyAlignment="1">
      <alignment horizontal="centerContinuous" vertical="center" wrapText="1"/>
    </xf>
    <xf numFmtId="0" fontId="30" fillId="0" borderId="33" xfId="0" applyFont="1" applyBorder="1" applyAlignment="1">
      <alignment/>
    </xf>
    <xf numFmtId="0" fontId="110" fillId="0" borderId="33" xfId="0" applyFont="1" applyBorder="1" applyAlignment="1">
      <alignment/>
    </xf>
    <xf numFmtId="0" fontId="22" fillId="0" borderId="44" xfId="0" applyFont="1" applyBorder="1" applyAlignment="1">
      <alignment/>
    </xf>
    <xf numFmtId="0" fontId="14" fillId="0" borderId="90" xfId="0" applyFont="1" applyBorder="1" applyAlignment="1">
      <alignment horizontal="center" vertical="center" wrapText="1"/>
    </xf>
    <xf numFmtId="0" fontId="14" fillId="0" borderId="139" xfId="0" applyFont="1" applyBorder="1" applyAlignment="1">
      <alignment horizontal="center"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0" fontId="22" fillId="0" borderId="142" xfId="0" applyFont="1" applyBorder="1" applyAlignment="1">
      <alignment/>
    </xf>
    <xf numFmtId="0" fontId="6" fillId="0" borderId="50" xfId="0" applyFont="1" applyBorder="1" applyAlignment="1">
      <alignment horizontal="center"/>
    </xf>
    <xf numFmtId="0" fontId="6" fillId="0" borderId="37" xfId="0" applyFont="1" applyFill="1" applyBorder="1" applyAlignment="1" applyProtection="1">
      <alignment horizontal="justify" wrapText="1"/>
      <protection/>
    </xf>
    <xf numFmtId="0" fontId="6" fillId="0" borderId="44" xfId="0" applyFont="1" applyFill="1" applyBorder="1" applyAlignment="1" applyProtection="1">
      <alignment horizontal="justify" wrapText="1"/>
      <protection/>
    </xf>
    <xf numFmtId="0" fontId="0" fillId="0" borderId="0" xfId="0" applyNumberFormat="1" applyAlignment="1">
      <alignment/>
    </xf>
    <xf numFmtId="0" fontId="6" fillId="0" borderId="54" xfId="0" applyFont="1" applyFill="1" applyBorder="1" applyAlignment="1" applyProtection="1">
      <alignment horizontal="justify" wrapText="1"/>
      <protection/>
    </xf>
    <xf numFmtId="179" fontId="13" fillId="0" borderId="0" xfId="61" applyFont="1" applyFill="1" applyAlignment="1" applyProtection="1">
      <alignment horizontal="left" vertical="center"/>
      <protection/>
    </xf>
    <xf numFmtId="179" fontId="21" fillId="0" borderId="0" xfId="61" applyFont="1" applyAlignment="1" applyProtection="1">
      <alignment vertical="center" wrapText="1"/>
      <protection/>
    </xf>
    <xf numFmtId="179" fontId="21" fillId="0" borderId="143" xfId="61" applyFont="1" applyBorder="1" applyAlignment="1" applyProtection="1">
      <alignment vertical="center" wrapText="1"/>
      <protection/>
    </xf>
    <xf numFmtId="0" fontId="13" fillId="0" borderId="0" xfId="60" applyFont="1" applyAlignment="1" applyProtection="1">
      <alignment vertical="center"/>
      <protection/>
    </xf>
    <xf numFmtId="179" fontId="13" fillId="0" borderId="0" xfId="61" applyFont="1" applyAlignment="1" applyProtection="1">
      <alignment vertical="center"/>
      <protection/>
    </xf>
    <xf numFmtId="179" fontId="13" fillId="0" borderId="0" xfId="61" applyFont="1" applyAlignment="1" applyProtection="1">
      <alignment horizontal="right" vertical="center"/>
      <protection/>
    </xf>
    <xf numFmtId="179" fontId="13" fillId="0" borderId="0" xfId="61" applyFont="1" applyFill="1" applyBorder="1" applyAlignment="1" applyProtection="1">
      <alignment horizontal="right" vertical="center"/>
      <protection/>
    </xf>
    <xf numFmtId="179" fontId="70" fillId="0" borderId="0" xfId="61" applyFont="1" applyFill="1" applyAlignment="1" applyProtection="1">
      <alignment horizontal="left" vertical="center"/>
      <protection/>
    </xf>
    <xf numFmtId="179" fontId="70" fillId="0" borderId="0" xfId="61" applyFont="1" applyAlignment="1" applyProtection="1">
      <alignment horizontal="right" vertical="center"/>
      <protection/>
    </xf>
    <xf numFmtId="179" fontId="70" fillId="0" borderId="0" xfId="61" applyFont="1" applyFill="1" applyBorder="1" applyAlignment="1" applyProtection="1">
      <alignment horizontal="right" vertical="center"/>
      <protection/>
    </xf>
    <xf numFmtId="179" fontId="70" fillId="0" borderId="0" xfId="61" applyFont="1" applyFill="1" applyBorder="1" applyAlignment="1" applyProtection="1">
      <alignment vertical="center"/>
      <protection/>
    </xf>
    <xf numFmtId="1" fontId="16" fillId="16" borderId="33" xfId="61" applyNumberFormat="1" applyFont="1" applyFill="1" applyBorder="1" applyAlignment="1" applyProtection="1">
      <alignment vertical="center"/>
      <protection/>
    </xf>
    <xf numFmtId="179" fontId="50" fillId="0" borderId="72" xfId="61" applyFont="1" applyBorder="1" applyAlignment="1" applyProtection="1">
      <alignment vertical="center" wrapText="1"/>
      <protection/>
    </xf>
    <xf numFmtId="179" fontId="78" fillId="0" borderId="72" xfId="61" applyFont="1" applyBorder="1" applyAlignment="1" applyProtection="1">
      <alignment vertical="center" wrapText="1"/>
      <protection/>
    </xf>
    <xf numFmtId="0" fontId="14" fillId="0" borderId="144" xfId="0" applyFont="1" applyBorder="1" applyAlignment="1">
      <alignment horizontal="center" vertical="center" wrapText="1"/>
    </xf>
    <xf numFmtId="0" fontId="9" fillId="0" borderId="64" xfId="0" applyFont="1" applyBorder="1" applyAlignment="1">
      <alignment horizontal="center" wrapText="1"/>
    </xf>
    <xf numFmtId="0" fontId="9" fillId="0" borderId="100" xfId="0" applyFont="1" applyBorder="1" applyAlignment="1">
      <alignment horizontal="center" wrapText="1"/>
    </xf>
    <xf numFmtId="0" fontId="9" fillId="0" borderId="145" xfId="0" applyFont="1" applyBorder="1" applyAlignment="1">
      <alignment horizontal="center" wrapText="1"/>
    </xf>
    <xf numFmtId="179" fontId="78" fillId="0" borderId="128" xfId="61" applyFont="1" applyBorder="1" applyAlignment="1" applyProtection="1">
      <alignment vertical="center" wrapText="1"/>
      <protection/>
    </xf>
    <xf numFmtId="3" fontId="6" fillId="0" borderId="81" xfId="64" applyNumberFormat="1" applyFont="1" applyFill="1" applyBorder="1" applyAlignment="1" applyProtection="1">
      <alignment/>
      <protection locked="0"/>
    </xf>
    <xf numFmtId="3" fontId="6" fillId="0" borderId="73" xfId="64" applyNumberFormat="1" applyFont="1" applyFill="1" applyBorder="1" applyAlignment="1" applyProtection="1">
      <alignment/>
      <protection locked="0"/>
    </xf>
    <xf numFmtId="3" fontId="6" fillId="0" borderId="119" xfId="64" applyNumberFormat="1" applyFont="1" applyFill="1" applyBorder="1" applyAlignment="1" applyProtection="1">
      <alignment/>
      <protection locked="0"/>
    </xf>
    <xf numFmtId="3" fontId="6" fillId="0" borderId="95" xfId="64" applyNumberFormat="1" applyFont="1" applyFill="1" applyBorder="1" applyAlignment="1" applyProtection="1">
      <alignment/>
      <protection locked="0"/>
    </xf>
    <xf numFmtId="3" fontId="6" fillId="0" borderId="94" xfId="64" applyNumberFormat="1" applyFont="1" applyFill="1" applyBorder="1" applyAlignment="1" applyProtection="1">
      <alignment/>
      <protection locked="0"/>
    </xf>
    <xf numFmtId="3" fontId="6" fillId="0" borderId="75" xfId="64" applyNumberFormat="1" applyFont="1" applyFill="1" applyBorder="1" applyAlignment="1" applyProtection="1">
      <alignment/>
      <protection locked="0"/>
    </xf>
    <xf numFmtId="3" fontId="6" fillId="0" borderId="71" xfId="64" applyNumberFormat="1" applyFont="1" applyFill="1" applyBorder="1" applyAlignment="1" applyProtection="1">
      <alignment/>
      <protection locked="0"/>
    </xf>
    <xf numFmtId="3" fontId="6" fillId="0" borderId="130" xfId="64" applyNumberFormat="1" applyFont="1" applyFill="1" applyBorder="1" applyAlignment="1" applyProtection="1">
      <alignment/>
      <protection locked="0"/>
    </xf>
    <xf numFmtId="3" fontId="6" fillId="0" borderId="53" xfId="64" applyNumberFormat="1" applyFont="1" applyFill="1" applyBorder="1" applyAlignment="1" applyProtection="1">
      <alignment/>
      <protection locked="0"/>
    </xf>
    <xf numFmtId="3" fontId="6" fillId="0" borderId="56" xfId="64" applyNumberFormat="1" applyFont="1" applyFill="1" applyBorder="1" applyAlignment="1" applyProtection="1">
      <alignment/>
      <protection locked="0"/>
    </xf>
    <xf numFmtId="3" fontId="6" fillId="0" borderId="81" xfId="0" applyNumberFormat="1" applyFont="1" applyBorder="1" applyAlignment="1" applyProtection="1">
      <alignment/>
      <protection locked="0"/>
    </xf>
    <xf numFmtId="3" fontId="6" fillId="0" borderId="73" xfId="0" applyNumberFormat="1" applyFont="1" applyFill="1" applyBorder="1" applyAlignment="1" applyProtection="1">
      <alignment/>
      <protection locked="0"/>
    </xf>
    <xf numFmtId="3" fontId="6" fillId="0" borderId="60" xfId="0" applyNumberFormat="1" applyFont="1" applyBorder="1" applyAlignment="1" applyProtection="1">
      <alignment/>
      <protection locked="0"/>
    </xf>
    <xf numFmtId="3" fontId="6" fillId="0" borderId="33" xfId="0" applyNumberFormat="1" applyFont="1" applyBorder="1" applyAlignment="1">
      <alignment horizontal="center"/>
    </xf>
    <xf numFmtId="3" fontId="6" fillId="0" borderId="50" xfId="0" applyNumberFormat="1" applyFont="1" applyBorder="1" applyAlignment="1">
      <alignment horizontal="center"/>
    </xf>
    <xf numFmtId="3" fontId="6" fillId="0" borderId="33" xfId="47" applyNumberFormat="1" applyFont="1" applyBorder="1" applyAlignment="1">
      <alignment/>
    </xf>
    <xf numFmtId="0" fontId="111" fillId="0" borderId="0" xfId="0" applyFont="1" applyAlignment="1" applyProtection="1">
      <alignment horizontal="left" vertical="top"/>
      <protection/>
    </xf>
    <xf numFmtId="0" fontId="9" fillId="0" borderId="46" xfId="0" applyFont="1" applyBorder="1" applyAlignment="1">
      <alignment horizontal="center"/>
    </xf>
    <xf numFmtId="0" fontId="6" fillId="0" borderId="46" xfId="0" applyFont="1" applyFill="1" applyBorder="1" applyAlignment="1" applyProtection="1">
      <alignment horizontal="left"/>
      <protection/>
    </xf>
    <xf numFmtId="0" fontId="9" fillId="0" borderId="46" xfId="0" applyFont="1" applyFill="1" applyBorder="1" applyAlignment="1" applyProtection="1">
      <alignment horizontal="left"/>
      <protection/>
    </xf>
    <xf numFmtId="0" fontId="9" fillId="0" borderId="33" xfId="0" applyFont="1" applyFill="1" applyBorder="1" applyAlignment="1" applyProtection="1">
      <alignment horizontal="left"/>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5" xfId="0" applyFont="1" applyFill="1" applyBorder="1" applyAlignment="1">
      <alignment/>
    </xf>
    <xf numFmtId="0" fontId="6" fillId="25" borderId="34" xfId="0" applyFont="1" applyFill="1" applyBorder="1" applyAlignment="1">
      <alignment/>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38" xfId="0" applyFont="1" applyFill="1" applyBorder="1" applyAlignment="1" applyProtection="1">
      <alignment horizontal="center"/>
      <protection/>
    </xf>
    <xf numFmtId="0" fontId="112" fillId="0" borderId="0" xfId="0" applyFont="1" applyAlignment="1">
      <alignment horizontal="center" vertical="center"/>
    </xf>
    <xf numFmtId="206" fontId="6" fillId="25" borderId="115" xfId="0" applyNumberFormat="1" applyFont="1" applyFill="1" applyBorder="1" applyAlignment="1">
      <alignment/>
    </xf>
    <xf numFmtId="206" fontId="6" fillId="25" borderId="117" xfId="0" applyNumberFormat="1" applyFont="1" applyFill="1" applyBorder="1" applyAlignment="1">
      <alignment/>
    </xf>
    <xf numFmtId="206" fontId="6" fillId="25" borderId="44" xfId="0" applyNumberFormat="1" applyFont="1" applyFill="1" applyBorder="1" applyAlignment="1">
      <alignment/>
    </xf>
    <xf numFmtId="206" fontId="6" fillId="25" borderId="64" xfId="0" applyNumberFormat="1" applyFont="1" applyFill="1" applyBorder="1" applyAlignment="1">
      <alignment/>
    </xf>
    <xf numFmtId="206" fontId="6" fillId="25" borderId="69" xfId="0" applyNumberFormat="1" applyFont="1" applyFill="1" applyBorder="1" applyAlignment="1" applyProtection="1">
      <alignment/>
      <protection/>
    </xf>
    <xf numFmtId="206" fontId="6" fillId="25" borderId="146" xfId="0" applyNumberFormat="1" applyFont="1" applyFill="1" applyBorder="1" applyAlignment="1" applyProtection="1">
      <alignment/>
      <protection/>
    </xf>
    <xf numFmtId="0" fontId="21" fillId="0" borderId="0" xfId="0" applyFont="1" applyAlignment="1">
      <alignment wrapText="1"/>
    </xf>
    <xf numFmtId="0" fontId="16" fillId="0" borderId="115" xfId="0" applyFont="1" applyFill="1" applyBorder="1" applyAlignment="1" applyProtection="1">
      <alignment horizontal="left" vertical="center" wrapText="1"/>
      <protection/>
    </xf>
    <xf numFmtId="3" fontId="6" fillId="24" borderId="116" xfId="0" applyNumberFormat="1" applyFont="1" applyFill="1" applyBorder="1" applyAlignment="1">
      <alignment horizontal="center" vertical="center"/>
    </xf>
    <xf numFmtId="0" fontId="16" fillId="0" borderId="44" xfId="0" applyFont="1" applyFill="1" applyBorder="1" applyAlignment="1" applyProtection="1">
      <alignment horizontal="left" vertical="center" wrapText="1"/>
      <protection/>
    </xf>
    <xf numFmtId="3" fontId="6" fillId="24" borderId="33" xfId="0" applyNumberFormat="1" applyFont="1" applyFill="1" applyBorder="1" applyAlignment="1">
      <alignment horizontal="center" vertical="center"/>
    </xf>
    <xf numFmtId="0" fontId="16" fillId="0" borderId="54" xfId="0" applyFont="1" applyFill="1" applyBorder="1" applyAlignment="1" applyProtection="1">
      <alignment horizontal="left" vertical="center" wrapText="1"/>
      <protection/>
    </xf>
    <xf numFmtId="3" fontId="6" fillId="24" borderId="47" xfId="0" applyNumberFormat="1" applyFont="1" applyFill="1" applyBorder="1" applyAlignment="1">
      <alignment horizontal="center" vertical="center"/>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6" fillId="0" borderId="18" xfId="0" applyFont="1" applyFill="1" applyBorder="1" applyAlignment="1" applyProtection="1">
      <alignment horizontal="left" vertical="center" wrapText="1"/>
      <protection/>
    </xf>
    <xf numFmtId="3" fontId="6" fillId="24" borderId="46" xfId="0" applyNumberFormat="1" applyFont="1" applyFill="1" applyBorder="1" applyAlignment="1">
      <alignment horizontal="center" vertical="center"/>
    </xf>
    <xf numFmtId="3" fontId="6" fillId="0" borderId="46" xfId="0" applyNumberFormat="1" applyFont="1" applyBorder="1" applyAlignment="1">
      <alignment horizontal="center" vertical="center"/>
    </xf>
    <xf numFmtId="0" fontId="6" fillId="0" borderId="54" xfId="0" applyFont="1" applyFill="1" applyBorder="1" applyAlignment="1" applyProtection="1">
      <alignment horizontal="left" vertical="center" wrapText="1"/>
      <protection/>
    </xf>
    <xf numFmtId="3" fontId="6" fillId="0" borderId="47" xfId="0" applyNumberFormat="1" applyFont="1" applyBorder="1" applyAlignment="1">
      <alignment horizontal="center" vertical="center"/>
    </xf>
    <xf numFmtId="179" fontId="8" fillId="0" borderId="0" xfId="61" applyFont="1" applyAlignment="1" applyProtection="1">
      <alignment vertical="center"/>
      <protection/>
    </xf>
    <xf numFmtId="179" fontId="16" fillId="0" borderId="0" xfId="61" applyFont="1" applyAlignment="1" applyProtection="1">
      <alignment vertical="center"/>
      <protection/>
    </xf>
    <xf numFmtId="179" fontId="6" fillId="0" borderId="72" xfId="61" applyFont="1" applyBorder="1" applyAlignment="1" applyProtection="1">
      <alignment vertical="center"/>
      <protection/>
    </xf>
    <xf numFmtId="49" fontId="16" fillId="0" borderId="33" xfId="61" applyNumberFormat="1" applyFont="1" applyFill="1" applyBorder="1" applyAlignment="1" applyProtection="1">
      <alignment horizontal="left" vertical="center"/>
      <protection locked="0"/>
    </xf>
    <xf numFmtId="49" fontId="11" fillId="0" borderId="53" xfId="36" applyNumberFormat="1" applyFill="1" applyBorder="1" applyAlignment="1" applyProtection="1">
      <alignment horizontal="left" vertical="center"/>
      <protection locked="0"/>
    </xf>
    <xf numFmtId="49" fontId="16" fillId="0" borderId="33" xfId="0" applyNumberFormat="1" applyFont="1" applyFill="1" applyBorder="1" applyAlignment="1" applyProtection="1">
      <alignment horizontal="left"/>
      <protection locked="0"/>
    </xf>
    <xf numFmtId="179" fontId="16" fillId="0" borderId="0" xfId="61" applyFont="1" applyAlignment="1" applyProtection="1">
      <alignment horizontal="left" vertical="center"/>
      <protection/>
    </xf>
    <xf numFmtId="179" fontId="16" fillId="0" borderId="0" xfId="61" applyFont="1" applyBorder="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protection/>
    </xf>
    <xf numFmtId="0" fontId="9" fillId="26" borderId="66" xfId="0" applyFont="1" applyFill="1" applyBorder="1" applyAlignment="1" applyProtection="1">
      <alignment horizontal="center" vertical="center"/>
      <protection/>
    </xf>
    <xf numFmtId="0" fontId="9" fillId="26" borderId="67" xfId="0" applyFont="1" applyFill="1" applyBorder="1" applyAlignment="1" applyProtection="1">
      <alignment horizontal="center" vertical="center" wrapText="1"/>
      <protection/>
    </xf>
    <xf numFmtId="0" fontId="9" fillId="26" borderId="68"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46"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3" xfId="0" applyNumberFormat="1" applyFont="1" applyFill="1" applyBorder="1" applyAlignment="1" applyProtection="1">
      <alignment vertical="center"/>
      <protection/>
    </xf>
    <xf numFmtId="3" fontId="16" fillId="0" borderId="46" xfId="0" applyNumberFormat="1" applyFont="1" applyFill="1" applyBorder="1" applyAlignment="1" applyProtection="1">
      <alignment/>
      <protection locked="0"/>
    </xf>
    <xf numFmtId="0" fontId="16" fillId="0" borderId="62" xfId="0" applyNumberFormat="1" applyFont="1" applyFill="1" applyBorder="1" applyAlignment="1" applyProtection="1">
      <alignment/>
      <protection locked="0"/>
    </xf>
    <xf numFmtId="4" fontId="6" fillId="0" borderId="44" xfId="0" applyNumberFormat="1" applyFont="1" applyFill="1" applyBorder="1" applyAlignment="1" applyProtection="1">
      <alignment horizontal="justify"/>
      <protection/>
    </xf>
    <xf numFmtId="3" fontId="16" fillId="0" borderId="33"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4" xfId="0" applyFont="1" applyFill="1" applyBorder="1" applyAlignment="1" applyProtection="1">
      <alignment horizontal="justify"/>
      <protection/>
    </xf>
    <xf numFmtId="3" fontId="16" fillId="0" borderId="47" xfId="0" applyNumberFormat="1" applyFont="1" applyFill="1" applyBorder="1" applyAlignment="1" applyProtection="1">
      <alignment vertical="center"/>
      <protection/>
    </xf>
    <xf numFmtId="3" fontId="16" fillId="0" borderId="47" xfId="0" applyNumberFormat="1" applyFont="1" applyFill="1" applyBorder="1" applyAlignment="1" applyProtection="1">
      <alignment/>
      <protection locked="0"/>
    </xf>
    <xf numFmtId="0" fontId="16" fillId="0" borderId="65" xfId="0" applyNumberFormat="1" applyFont="1" applyFill="1" applyBorder="1" applyAlignment="1" applyProtection="1">
      <alignment/>
      <protection locked="0"/>
    </xf>
    <xf numFmtId="0" fontId="21" fillId="0" borderId="66" xfId="0" applyFont="1" applyFill="1" applyBorder="1" applyAlignment="1" applyProtection="1">
      <alignment horizontal="center" vertical="center" wrapText="1"/>
      <protection/>
    </xf>
    <xf numFmtId="3" fontId="21" fillId="0" borderId="67" xfId="0" applyNumberFormat="1" applyFont="1" applyFill="1" applyBorder="1" applyAlignment="1" applyProtection="1">
      <alignment vertical="center"/>
      <protection/>
    </xf>
    <xf numFmtId="0" fontId="13" fillId="26" borderId="68" xfId="0" applyNumberFormat="1" applyFont="1" applyFill="1" applyBorder="1" applyAlignment="1" applyProtection="1">
      <alignment horizontal="center" vertical="center" wrapText="1"/>
      <protection/>
    </xf>
    <xf numFmtId="0" fontId="0" fillId="0" borderId="116" xfId="0" applyBorder="1" applyAlignment="1" applyProtection="1">
      <alignment/>
      <protection/>
    </xf>
    <xf numFmtId="3" fontId="0" fillId="0" borderId="116" xfId="0" applyNumberFormat="1" applyBorder="1" applyAlignment="1" applyProtection="1">
      <alignment/>
      <protection/>
    </xf>
    <xf numFmtId="0" fontId="0" fillId="0" borderId="117" xfId="0" applyNumberFormat="1" applyBorder="1" applyAlignment="1" applyProtection="1">
      <alignment/>
      <protection/>
    </xf>
    <xf numFmtId="0" fontId="6" fillId="0" borderId="33" xfId="0" applyFont="1" applyFill="1" applyBorder="1" applyAlignment="1" applyProtection="1">
      <alignment horizontal="justify" vertical="center" wrapText="1"/>
      <protection/>
    </xf>
    <xf numFmtId="0" fontId="13" fillId="26" borderId="68" xfId="0" applyNumberFormat="1" applyFont="1" applyFill="1" applyBorder="1" applyAlignment="1" applyProtection="1">
      <alignment horizontal="center" vertical="center"/>
      <protection/>
    </xf>
    <xf numFmtId="0" fontId="79" fillId="0" borderId="0" xfId="0" applyFont="1" applyAlignment="1" applyProtection="1">
      <alignment/>
      <protection/>
    </xf>
    <xf numFmtId="0" fontId="80" fillId="0" borderId="0" xfId="0" applyFon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3" fillId="0" borderId="0" xfId="0" applyFont="1" applyAlignment="1">
      <alignment/>
    </xf>
    <xf numFmtId="0" fontId="47" fillId="0" borderId="0" xfId="0" applyFont="1" applyAlignment="1">
      <alignment horizontal="center" vertical="center" wrapText="1"/>
    </xf>
    <xf numFmtId="3" fontId="6" fillId="0" borderId="119" xfId="64" applyNumberFormat="1" applyFont="1" applyFill="1" applyBorder="1" applyAlignment="1" applyProtection="1">
      <alignment/>
      <protection locked="0"/>
    </xf>
    <xf numFmtId="3" fontId="6" fillId="0" borderId="73" xfId="64" applyNumberFormat="1" applyFont="1" applyFill="1" applyBorder="1" applyAlignment="1" applyProtection="1">
      <alignment/>
      <protection locked="0"/>
    </xf>
    <xf numFmtId="3" fontId="6" fillId="0" borderId="130" xfId="64" applyNumberFormat="1" applyFont="1" applyFill="1" applyBorder="1" applyAlignment="1" applyProtection="1">
      <alignment/>
      <protection locked="0"/>
    </xf>
    <xf numFmtId="3" fontId="6" fillId="0" borderId="71" xfId="64" applyNumberFormat="1" applyFont="1" applyFill="1" applyBorder="1" applyAlignment="1" applyProtection="1">
      <alignment/>
      <protection locked="0"/>
    </xf>
    <xf numFmtId="206" fontId="6" fillId="24" borderId="108" xfId="64" applyNumberFormat="1" applyFont="1" applyFill="1" applyBorder="1" applyAlignment="1">
      <alignment/>
      <protection/>
    </xf>
    <xf numFmtId="206" fontId="6" fillId="24" borderId="102" xfId="64" applyNumberFormat="1" applyFont="1" applyFill="1" applyBorder="1" applyAlignment="1">
      <alignment/>
      <protection/>
    </xf>
    <xf numFmtId="3" fontId="6" fillId="0" borderId="81" xfId="64" applyNumberFormat="1" applyFont="1" applyFill="1" applyBorder="1" applyAlignment="1" applyProtection="1">
      <alignment/>
      <protection locked="0"/>
    </xf>
    <xf numFmtId="3" fontId="6" fillId="0" borderId="75" xfId="64" applyNumberFormat="1" applyFont="1" applyFill="1" applyBorder="1" applyAlignment="1" applyProtection="1">
      <alignment/>
      <protection locked="0"/>
    </xf>
    <xf numFmtId="0" fontId="6" fillId="0" borderId="0" xfId="0" applyFont="1" applyAlignment="1">
      <alignment horizontal="left"/>
    </xf>
    <xf numFmtId="0" fontId="0" fillId="0" borderId="0" xfId="0" applyFont="1" applyAlignment="1">
      <alignment horizontal="left"/>
    </xf>
    <xf numFmtId="0" fontId="82" fillId="0" borderId="0" xfId="0" applyFont="1" applyAlignment="1">
      <alignment wrapText="1"/>
    </xf>
    <xf numFmtId="0" fontId="0" fillId="0" borderId="0" xfId="0" applyFont="1" applyAlignment="1" applyProtection="1">
      <alignment horizontal="left"/>
      <protection locked="0"/>
    </xf>
    <xf numFmtId="0" fontId="6" fillId="0" borderId="36" xfId="0" applyFont="1" applyFill="1" applyBorder="1" applyAlignment="1" applyProtection="1">
      <alignment horizontal="justify"/>
      <protection/>
    </xf>
    <xf numFmtId="0" fontId="16" fillId="0" borderId="46" xfId="0" applyFont="1" applyFill="1" applyBorder="1" applyAlignment="1" applyProtection="1">
      <alignment horizontal="center"/>
      <protection/>
    </xf>
    <xf numFmtId="40" fontId="6" fillId="24" borderId="33" xfId="47" applyFont="1" applyFill="1" applyBorder="1" applyAlignment="1">
      <alignment horizontal="center"/>
    </xf>
    <xf numFmtId="40" fontId="6" fillId="24" borderId="47" xfId="47" applyFont="1" applyFill="1" applyBorder="1" applyAlignment="1">
      <alignment horizontal="center"/>
    </xf>
    <xf numFmtId="0" fontId="6" fillId="0" borderId="20" xfId="0" applyFont="1" applyFill="1" applyBorder="1" applyAlignment="1" applyProtection="1">
      <alignment horizontal="justify"/>
      <protection/>
    </xf>
    <xf numFmtId="179" fontId="6" fillId="0" borderId="0" xfId="61" applyFont="1" applyAlignment="1" applyProtection="1">
      <alignment vertical="center"/>
      <protection/>
    </xf>
    <xf numFmtId="49" fontId="16" fillId="0" borderId="33" xfId="61" applyNumberFormat="1" applyFont="1" applyBorder="1" applyAlignment="1" applyProtection="1">
      <alignment horizontal="left" vertical="center"/>
      <protection locked="0"/>
    </xf>
    <xf numFmtId="49" fontId="16" fillId="0" borderId="33" xfId="0" applyNumberFormat="1" applyFont="1" applyBorder="1" applyAlignment="1" applyProtection="1">
      <alignment horizontal="left"/>
      <protection locked="0"/>
    </xf>
    <xf numFmtId="0" fontId="14" fillId="0" borderId="20" xfId="0" applyFont="1" applyFill="1" applyBorder="1" applyAlignment="1">
      <alignment horizontal="center" vertical="center"/>
    </xf>
    <xf numFmtId="0" fontId="9" fillId="0" borderId="92" xfId="0" applyFont="1" applyFill="1" applyBorder="1" applyAlignment="1">
      <alignment horizontal="center" vertical="center"/>
    </xf>
    <xf numFmtId="0" fontId="14" fillId="27" borderId="91" xfId="0" applyFont="1" applyFill="1" applyBorder="1" applyAlignment="1" applyProtection="1">
      <alignment horizontal="center" vertical="center"/>
      <protection/>
    </xf>
    <xf numFmtId="0" fontId="19" fillId="27" borderId="91" xfId="0" applyFont="1" applyFill="1" applyBorder="1" applyAlignment="1">
      <alignment horizontal="center"/>
    </xf>
    <xf numFmtId="0" fontId="19" fillId="27" borderId="42" xfId="68" applyFont="1" applyFill="1" applyBorder="1" applyAlignment="1">
      <alignment horizontal="center"/>
      <protection/>
    </xf>
    <xf numFmtId="0" fontId="19" fillId="27" borderId="42" xfId="0" applyFont="1" applyFill="1" applyBorder="1" applyAlignment="1" applyProtection="1">
      <alignment horizontal="center"/>
      <protection/>
    </xf>
    <xf numFmtId="0" fontId="17" fillId="27" borderId="42" xfId="67" applyFont="1" applyFill="1" applyBorder="1" applyAlignment="1" applyProtection="1">
      <alignment horizontal="center" vertical="center"/>
      <protection/>
    </xf>
    <xf numFmtId="0" fontId="6" fillId="27" borderId="42" xfId="66" applyFont="1" applyFill="1" applyBorder="1" applyAlignment="1">
      <alignment horizontal="center"/>
      <protection/>
    </xf>
    <xf numFmtId="0" fontId="6" fillId="27" borderId="42" xfId="65" applyFont="1" applyFill="1" applyBorder="1" applyAlignment="1">
      <alignment horizontal="center"/>
      <protection/>
    </xf>
    <xf numFmtId="0" fontId="6" fillId="27" borderId="42" xfId="64" applyFont="1" applyFill="1" applyBorder="1" applyAlignment="1">
      <alignment horizontal="center"/>
      <protection/>
    </xf>
    <xf numFmtId="0" fontId="6" fillId="27" borderId="42" xfId="63" applyFont="1" applyFill="1" applyBorder="1" applyAlignment="1">
      <alignment horizontal="center"/>
      <protection/>
    </xf>
    <xf numFmtId="0" fontId="114" fillId="0" borderId="0" xfId="0" applyFont="1" applyAlignment="1">
      <alignment/>
    </xf>
    <xf numFmtId="206" fontId="114" fillId="0" borderId="0" xfId="0" applyNumberFormat="1" applyFont="1" applyAlignment="1">
      <alignment/>
    </xf>
    <xf numFmtId="0" fontId="6" fillId="0" borderId="42" xfId="63" applyFont="1" applyFill="1" applyBorder="1" applyAlignment="1">
      <alignment horizontal="center"/>
      <protection/>
    </xf>
    <xf numFmtId="206" fontId="6" fillId="24" borderId="58" xfId="0" applyNumberFormat="1" applyFont="1" applyFill="1" applyBorder="1" applyAlignment="1" applyProtection="1">
      <alignment/>
      <protection locked="0"/>
    </xf>
    <xf numFmtId="206" fontId="6" fillId="24" borderId="43" xfId="0" applyNumberFormat="1" applyFont="1" applyFill="1" applyBorder="1" applyAlignment="1" applyProtection="1">
      <alignment/>
      <protection locked="0"/>
    </xf>
    <xf numFmtId="206" fontId="6" fillId="0" borderId="58" xfId="0" applyNumberFormat="1" applyFont="1" applyFill="1" applyBorder="1" applyAlignment="1" applyProtection="1">
      <alignment/>
      <protection locked="0"/>
    </xf>
    <xf numFmtId="206" fontId="6" fillId="0" borderId="43" xfId="0" applyNumberFormat="1" applyFont="1" applyFill="1" applyBorder="1" applyAlignment="1" applyProtection="1">
      <alignment/>
      <protection locked="0"/>
    </xf>
    <xf numFmtId="206" fontId="6" fillId="0" borderId="58" xfId="0" applyNumberFormat="1" applyFont="1" applyFill="1" applyBorder="1" applyAlignment="1" applyProtection="1">
      <alignment/>
      <protection locked="0"/>
    </xf>
    <xf numFmtId="206" fontId="6" fillId="0" borderId="59" xfId="0" applyNumberFormat="1" applyFont="1" applyFill="1" applyBorder="1" applyAlignment="1" applyProtection="1">
      <alignment/>
      <protection locked="0"/>
    </xf>
    <xf numFmtId="206" fontId="6" fillId="0" borderId="60" xfId="0" applyNumberFormat="1" applyFont="1" applyFill="1" applyBorder="1" applyAlignment="1" applyProtection="1">
      <alignment/>
      <protection locked="0"/>
    </xf>
    <xf numFmtId="206" fontId="6" fillId="0" borderId="61" xfId="0" applyNumberFormat="1" applyFont="1" applyFill="1" applyBorder="1" applyAlignment="1" applyProtection="1">
      <alignment/>
      <protection locked="0"/>
    </xf>
    <xf numFmtId="0" fontId="9" fillId="0" borderId="97" xfId="0" applyFont="1" applyFill="1" applyBorder="1" applyAlignment="1" applyProtection="1">
      <alignment horizontal="center" vertical="center"/>
      <protection/>
    </xf>
    <xf numFmtId="0" fontId="16" fillId="0" borderId="72"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16" fillId="0" borderId="128" xfId="0" applyFont="1" applyFill="1" applyBorder="1" applyAlignment="1" applyProtection="1">
      <alignment horizontal="center"/>
      <protection/>
    </xf>
    <xf numFmtId="0" fontId="16" fillId="0" borderId="72" xfId="0" applyFont="1" applyFill="1" applyBorder="1" applyAlignment="1" applyProtection="1">
      <alignment horizontal="center"/>
      <protection/>
    </xf>
    <xf numFmtId="0" fontId="16" fillId="0" borderId="56" xfId="0" applyFont="1" applyFill="1" applyBorder="1" applyAlignment="1" applyProtection="1">
      <alignment horizontal="center"/>
      <protection/>
    </xf>
    <xf numFmtId="0" fontId="16" fillId="0" borderId="52" xfId="0" applyFont="1" applyFill="1" applyBorder="1" applyAlignment="1" applyProtection="1">
      <alignment horizontal="center"/>
      <protection/>
    </xf>
    <xf numFmtId="0" fontId="16" fillId="0" borderId="130" xfId="0" applyFont="1" applyFill="1" applyBorder="1" applyAlignment="1" applyProtection="1">
      <alignment horizontal="center"/>
      <protection/>
    </xf>
    <xf numFmtId="0" fontId="16" fillId="0" borderId="147" xfId="0" applyFont="1" applyFill="1" applyBorder="1" applyAlignment="1" applyProtection="1">
      <alignment horizontal="center"/>
      <protection/>
    </xf>
    <xf numFmtId="3" fontId="16" fillId="0" borderId="72" xfId="0" applyNumberFormat="1" applyFont="1" applyFill="1" applyBorder="1" applyAlignment="1" applyProtection="1">
      <alignment horizontal="center"/>
      <protection/>
    </xf>
    <xf numFmtId="0" fontId="10" fillId="0" borderId="0" xfId="0" applyFont="1" applyBorder="1" applyAlignment="1" applyProtection="1">
      <alignment vertical="top"/>
      <protection/>
    </xf>
    <xf numFmtId="0" fontId="18" fillId="0" borderId="24" xfId="0" applyFont="1" applyFill="1" applyBorder="1" applyAlignment="1" applyProtection="1">
      <alignment horizontal="center" vertical="center" wrapText="1"/>
      <protection/>
    </xf>
    <xf numFmtId="0" fontId="5" fillId="0" borderId="0" xfId="0" applyFont="1" applyAlignment="1">
      <alignment wrapText="1"/>
    </xf>
    <xf numFmtId="0" fontId="84" fillId="0" borderId="0" xfId="0" applyFont="1" applyAlignment="1">
      <alignment/>
    </xf>
    <xf numFmtId="0" fontId="7" fillId="0" borderId="44" xfId="0" applyFont="1" applyFill="1" applyBorder="1" applyAlignment="1" applyProtection="1">
      <alignment horizontal="left"/>
      <protection/>
    </xf>
    <xf numFmtId="40" fontId="6" fillId="24" borderId="116" xfId="47" applyFont="1" applyFill="1" applyBorder="1" applyAlignment="1">
      <alignment horizontal="center"/>
    </xf>
    <xf numFmtId="3" fontId="6" fillId="24" borderId="116" xfId="0" applyNumberFormat="1" applyFont="1" applyFill="1" applyBorder="1" applyAlignment="1">
      <alignment horizontal="center"/>
    </xf>
    <xf numFmtId="0" fontId="9" fillId="0" borderId="148" xfId="0" applyFont="1" applyFill="1" applyBorder="1" applyAlignment="1" applyProtection="1">
      <alignment horizontal="center"/>
      <protection/>
    </xf>
    <xf numFmtId="3" fontId="9" fillId="0" borderId="144" xfId="0" applyNumberFormat="1" applyFont="1" applyBorder="1" applyAlignment="1">
      <alignment horizontal="center"/>
    </xf>
    <xf numFmtId="0" fontId="9" fillId="0" borderId="56" xfId="0" applyFont="1" applyFill="1" applyBorder="1" applyAlignment="1" applyProtection="1">
      <alignment horizontal="center"/>
      <protection/>
    </xf>
    <xf numFmtId="3" fontId="9" fillId="0" borderId="55"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38" xfId="0" applyFont="1" applyBorder="1" applyAlignment="1">
      <alignment horizontal="left" wrapText="1"/>
    </xf>
    <xf numFmtId="0" fontId="5" fillId="0" borderId="110" xfId="0" applyFont="1" applyBorder="1" applyAlignment="1">
      <alignment vertical="top"/>
    </xf>
    <xf numFmtId="0" fontId="6" fillId="0" borderId="110" xfId="0" applyFont="1" applyBorder="1" applyAlignment="1">
      <alignment/>
    </xf>
    <xf numFmtId="0" fontId="5" fillId="0" borderId="110" xfId="0" applyFont="1" applyBorder="1" applyAlignment="1">
      <alignment vertical="top" wrapText="1"/>
    </xf>
    <xf numFmtId="0" fontId="5" fillId="0" borderId="110" xfId="0" applyFont="1" applyBorder="1" applyAlignment="1">
      <alignment/>
    </xf>
    <xf numFmtId="0" fontId="9" fillId="0" borderId="117"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 vertical="center" wrapText="1"/>
      <protection/>
    </xf>
    <xf numFmtId="0" fontId="9" fillId="0" borderId="145" xfId="0" applyFont="1" applyFill="1" applyBorder="1" applyAlignment="1" applyProtection="1">
      <alignment horizontal="center" vertical="center" wrapText="1"/>
      <protection/>
    </xf>
    <xf numFmtId="0" fontId="9" fillId="0" borderId="85" xfId="0" applyFont="1" applyBorder="1" applyAlignment="1">
      <alignment horizontal="center" vertical="center" wrapText="1"/>
    </xf>
    <xf numFmtId="0" fontId="9" fillId="0" borderId="145" xfId="0" applyFont="1" applyBorder="1" applyAlignment="1">
      <alignment horizontal="center" vertical="center" wrapText="1"/>
    </xf>
    <xf numFmtId="38" fontId="6" fillId="0" borderId="33" xfId="47" applyNumberFormat="1" applyFont="1" applyBorder="1" applyAlignment="1">
      <alignment/>
    </xf>
    <xf numFmtId="179" fontId="115" fillId="0" borderId="0" xfId="61" applyFont="1" applyAlignment="1" applyProtection="1">
      <alignment vertical="center"/>
      <protection/>
    </xf>
    <xf numFmtId="0" fontId="116" fillId="0" borderId="0" xfId="0" applyFont="1" applyAlignment="1">
      <alignment/>
    </xf>
    <xf numFmtId="179" fontId="117" fillId="0" borderId="0" xfId="61" applyFont="1" applyAlignment="1" applyProtection="1">
      <alignment vertical="center"/>
      <protection/>
    </xf>
    <xf numFmtId="179" fontId="115" fillId="0" borderId="0" xfId="61" applyFont="1" applyAlignment="1">
      <alignment vertical="center"/>
      <protection/>
    </xf>
    <xf numFmtId="179" fontId="115" fillId="0" borderId="0" xfId="61" applyFont="1" applyAlignment="1">
      <alignment horizontal="center" vertical="center"/>
      <protection/>
    </xf>
    <xf numFmtId="2" fontId="6" fillId="0" borderId="33" xfId="47" applyNumberFormat="1" applyFont="1" applyBorder="1" applyAlignment="1">
      <alignment/>
    </xf>
    <xf numFmtId="0" fontId="6" fillId="0" borderId="149" xfId="0" applyFont="1" applyFill="1" applyBorder="1" applyAlignment="1" applyProtection="1">
      <alignment horizontal="centerContinuous" vertical="center" wrapText="1"/>
      <protection/>
    </xf>
    <xf numFmtId="0" fontId="6" fillId="0" borderId="132" xfId="0" applyFont="1" applyFill="1" applyBorder="1" applyAlignment="1" applyProtection="1">
      <alignment horizontal="center" vertical="center" wrapText="1"/>
      <protection/>
    </xf>
    <xf numFmtId="3" fontId="16" fillId="0" borderId="50" xfId="0" applyNumberFormat="1" applyFont="1" applyFill="1" applyBorder="1" applyAlignment="1" applyProtection="1">
      <alignment/>
      <protection locked="0"/>
    </xf>
    <xf numFmtId="0" fontId="16" fillId="0" borderId="150" xfId="0" applyNumberFormat="1" applyFont="1" applyFill="1" applyBorder="1" applyAlignment="1" applyProtection="1">
      <alignment/>
      <protection locked="0"/>
    </xf>
    <xf numFmtId="3" fontId="16" fillId="0" borderId="51" xfId="0" applyNumberFormat="1" applyFont="1" applyFill="1" applyBorder="1" applyAlignment="1" applyProtection="1">
      <alignment/>
      <protection locked="0"/>
    </xf>
    <xf numFmtId="0" fontId="16" fillId="0" borderId="38" xfId="0" applyNumberFormat="1" applyFont="1" applyFill="1" applyBorder="1" applyAlignment="1" applyProtection="1">
      <alignment/>
      <protection locked="0"/>
    </xf>
    <xf numFmtId="3" fontId="16" fillId="0" borderId="151" xfId="0" applyNumberFormat="1" applyFont="1" applyFill="1" applyBorder="1" applyAlignment="1" applyProtection="1">
      <alignment/>
      <protection locked="0"/>
    </xf>
    <xf numFmtId="0" fontId="16" fillId="0" borderId="152" xfId="0" applyNumberFormat="1" applyFont="1" applyFill="1" applyBorder="1" applyAlignment="1" applyProtection="1">
      <alignment/>
      <protection locked="0"/>
    </xf>
    <xf numFmtId="0" fontId="9" fillId="26" borderId="56" xfId="0" applyFont="1" applyFill="1" applyBorder="1" applyAlignment="1" applyProtection="1">
      <alignment horizontal="center" vertical="center" wrapText="1"/>
      <protection/>
    </xf>
    <xf numFmtId="0" fontId="9" fillId="26" borderId="63" xfId="0" applyFont="1" applyFill="1" applyBorder="1" applyAlignment="1" applyProtection="1">
      <alignment horizontal="center" vertical="center" wrapText="1"/>
      <protection/>
    </xf>
    <xf numFmtId="0" fontId="9" fillId="26" borderId="153" xfId="0" applyFont="1" applyFill="1" applyBorder="1" applyAlignment="1" applyProtection="1">
      <alignment horizontal="center" vertical="center" wrapText="1"/>
      <protection/>
    </xf>
    <xf numFmtId="0" fontId="9" fillId="26" borderId="150" xfId="0" applyFont="1" applyFill="1" applyBorder="1" applyAlignment="1" applyProtection="1">
      <alignment horizontal="center" vertical="center" wrapText="1"/>
      <protection/>
    </xf>
    <xf numFmtId="0" fontId="9" fillId="26" borderId="52" xfId="0" applyFont="1" applyFill="1" applyBorder="1" applyAlignment="1" applyProtection="1">
      <alignment horizontal="center" vertical="center" wrapText="1"/>
      <protection/>
    </xf>
    <xf numFmtId="0" fontId="9" fillId="26" borderId="62"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38" xfId="0" applyFont="1" applyFill="1" applyBorder="1" applyAlignment="1" applyProtection="1">
      <alignment horizontal="center" vertical="center" wrapText="1"/>
      <protection/>
    </xf>
    <xf numFmtId="0" fontId="9" fillId="0" borderId="58" xfId="0" applyFont="1" applyFill="1" applyBorder="1" applyAlignment="1" applyProtection="1">
      <alignment horizontal="centerContinuous" vertical="center" wrapText="1"/>
      <protection/>
    </xf>
    <xf numFmtId="0" fontId="9" fillId="0" borderId="76" xfId="0" applyFont="1" applyFill="1" applyBorder="1" applyAlignment="1">
      <alignment horizontal="centerContinuous" vertical="center"/>
    </xf>
    <xf numFmtId="0" fontId="9" fillId="0" borderId="58" xfId="0" applyFont="1" applyFill="1" applyBorder="1" applyAlignment="1" applyProtection="1">
      <alignment horizontal="centerContinuous" vertical="center"/>
      <protection/>
    </xf>
    <xf numFmtId="0" fontId="77" fillId="0" borderId="110" xfId="0" applyFont="1" applyBorder="1" applyAlignment="1" applyProtection="1">
      <alignment vertical="center" wrapText="1"/>
      <protection/>
    </xf>
    <xf numFmtId="179" fontId="16" fillId="0" borderId="0" xfId="61" applyFont="1" applyFill="1" applyBorder="1" applyAlignment="1" applyProtection="1">
      <alignment vertical="center"/>
      <protection/>
    </xf>
    <xf numFmtId="179" fontId="8" fillId="0" borderId="33" xfId="61" applyFont="1" applyFill="1" applyBorder="1" applyAlignment="1" applyProtection="1">
      <alignment horizontal="center" vertical="center"/>
      <protection/>
    </xf>
    <xf numFmtId="0" fontId="49" fillId="0" borderId="0" xfId="61" applyNumberFormat="1" applyFont="1" applyAlignment="1" applyProtection="1">
      <alignment horizontal="center" vertical="center" wrapText="1"/>
      <protection/>
    </xf>
    <xf numFmtId="0" fontId="6" fillId="0" borderId="115" xfId="0" applyFont="1" applyBorder="1" applyAlignment="1">
      <alignment/>
    </xf>
    <xf numFmtId="0" fontId="6" fillId="0" borderId="148" xfId="0" applyFont="1" applyBorder="1" applyAlignment="1">
      <alignment/>
    </xf>
    <xf numFmtId="0" fontId="6" fillId="0" borderId="46" xfId="0" applyFont="1" applyBorder="1" applyAlignment="1">
      <alignment/>
    </xf>
    <xf numFmtId="0" fontId="6" fillId="28" borderId="141" xfId="0" applyFont="1" applyFill="1" applyBorder="1" applyAlignment="1">
      <alignment/>
    </xf>
    <xf numFmtId="0" fontId="112" fillId="29" borderId="0" xfId="0" applyFont="1" applyFill="1" applyBorder="1" applyAlignment="1">
      <alignment horizontal="center" wrapText="1"/>
    </xf>
    <xf numFmtId="0" fontId="118" fillId="0" borderId="72" xfId="0" applyFont="1" applyBorder="1" applyAlignment="1">
      <alignment horizontal="center"/>
    </xf>
    <xf numFmtId="0" fontId="118" fillId="0" borderId="0" xfId="0" applyFont="1" applyBorder="1" applyAlignment="1">
      <alignment horizontal="center"/>
    </xf>
    <xf numFmtId="0" fontId="19" fillId="0" borderId="0" xfId="0" applyFont="1" applyAlignment="1">
      <alignment/>
    </xf>
    <xf numFmtId="2" fontId="42" fillId="0" borderId="33" xfId="0" applyNumberFormat="1" applyFont="1" applyBorder="1" applyAlignment="1">
      <alignment horizontal="center"/>
    </xf>
    <xf numFmtId="0" fontId="9" fillId="0" borderId="34" xfId="68" applyFont="1" applyBorder="1" applyAlignment="1">
      <alignment horizontal="centerContinuous" vertical="center"/>
      <protection/>
    </xf>
    <xf numFmtId="0" fontId="18" fillId="0" borderId="99" xfId="68" applyFont="1" applyFill="1" applyBorder="1" applyAlignment="1" applyProtection="1">
      <alignment horizontal="center" vertical="center"/>
      <protection/>
    </xf>
    <xf numFmtId="0" fontId="19" fillId="0" borderId="86" xfId="68" applyFont="1" applyFill="1" applyBorder="1" applyAlignment="1" applyProtection="1">
      <alignment horizontal="center"/>
      <protection/>
    </xf>
    <xf numFmtId="0" fontId="19" fillId="0" borderId="23" xfId="68" applyFont="1" applyFill="1" applyBorder="1" applyAlignment="1" applyProtection="1">
      <alignment horizontal="center"/>
      <protection/>
    </xf>
    <xf numFmtId="1" fontId="16" fillId="22" borderId="33" xfId="61" applyNumberFormat="1" applyFont="1" applyFill="1" applyBorder="1" applyAlignment="1" applyProtection="1">
      <alignment vertical="center"/>
      <protection locked="0"/>
    </xf>
    <xf numFmtId="179" fontId="13" fillId="0" borderId="0" xfId="61" applyFont="1" applyFill="1" applyAlignment="1" applyProtection="1">
      <alignment horizontal="left" vertical="center" wrapText="1"/>
      <protection/>
    </xf>
    <xf numFmtId="179" fontId="13" fillId="0" borderId="143" xfId="61" applyFont="1" applyFill="1" applyBorder="1" applyAlignment="1" applyProtection="1">
      <alignment horizontal="left" vertical="center" wrapText="1"/>
      <protection/>
    </xf>
    <xf numFmtId="0" fontId="75" fillId="16" borderId="56" xfId="0" applyFont="1" applyFill="1" applyBorder="1" applyAlignment="1">
      <alignment horizontal="center" vertical="center" readingOrder="1"/>
    </xf>
    <xf numFmtId="0" fontId="75" fillId="16" borderId="130" xfId="0" applyFont="1" applyFill="1" applyBorder="1" applyAlignment="1">
      <alignment horizontal="center" vertical="center" readingOrder="1"/>
    </xf>
    <xf numFmtId="0" fontId="75" fillId="16" borderId="53" xfId="0" applyFont="1" applyFill="1" applyBorder="1" applyAlignment="1">
      <alignment horizontal="center" vertical="center" readingOrder="1"/>
    </xf>
    <xf numFmtId="49" fontId="16" fillId="0" borderId="56" xfId="61" applyNumberFormat="1" applyFont="1" applyFill="1" applyBorder="1" applyAlignment="1" applyProtection="1">
      <alignment horizontal="left" vertical="center"/>
      <protection locked="0"/>
    </xf>
    <xf numFmtId="49" fontId="16" fillId="0" borderId="53" xfId="61" applyNumberFormat="1" applyFont="1" applyFill="1" applyBorder="1" applyAlignment="1" applyProtection="1">
      <alignment horizontal="left" vertical="center"/>
      <protection locked="0"/>
    </xf>
    <xf numFmtId="49" fontId="16" fillId="22" borderId="56" xfId="61" applyNumberFormat="1" applyFont="1" applyFill="1" applyBorder="1" applyAlignment="1" applyProtection="1">
      <alignment horizontal="left" vertical="center"/>
      <protection locked="0"/>
    </xf>
    <xf numFmtId="49" fontId="16" fillId="22" borderId="53" xfId="61" applyNumberFormat="1" applyFont="1" applyFill="1" applyBorder="1" applyAlignment="1" applyProtection="1">
      <alignment horizontal="left" vertical="center"/>
      <protection locked="0"/>
    </xf>
    <xf numFmtId="49" fontId="16" fillId="0" borderId="56" xfId="61" applyNumberFormat="1" applyFont="1" applyBorder="1" applyAlignment="1" applyProtection="1">
      <alignment horizontal="left" vertical="center"/>
      <protection locked="0"/>
    </xf>
    <xf numFmtId="49" fontId="16" fillId="0" borderId="53" xfId="61" applyNumberFormat="1" applyFont="1" applyBorder="1" applyAlignment="1" applyProtection="1">
      <alignment horizontal="left" vertical="center"/>
      <protection locked="0"/>
    </xf>
    <xf numFmtId="49" fontId="16" fillId="0" borderId="56" xfId="0" applyNumberFormat="1" applyFont="1" applyBorder="1" applyAlignment="1" applyProtection="1">
      <alignment horizontal="left" vertical="center"/>
      <protection locked="0"/>
    </xf>
    <xf numFmtId="49" fontId="16" fillId="0" borderId="53" xfId="0" applyNumberFormat="1" applyFont="1" applyBorder="1" applyAlignment="1" applyProtection="1">
      <alignment horizontal="left" vertical="center"/>
      <protection locked="0"/>
    </xf>
    <xf numFmtId="49" fontId="11" fillId="0" borderId="56" xfId="36" applyNumberFormat="1" applyFill="1" applyBorder="1" applyAlignment="1" applyProtection="1">
      <alignment horizontal="left" vertical="center"/>
      <protection locked="0"/>
    </xf>
    <xf numFmtId="49" fontId="16" fillId="0" borderId="53" xfId="59" applyNumberFormat="1" applyFont="1" applyFill="1" applyBorder="1" applyAlignment="1" applyProtection="1">
      <alignment horizontal="left" vertical="center"/>
      <protection locked="0"/>
    </xf>
    <xf numFmtId="49" fontId="16" fillId="0" borderId="56" xfId="59" applyNumberFormat="1" applyFont="1" applyFill="1" applyBorder="1" applyAlignment="1" applyProtection="1">
      <alignment horizontal="left" vertical="center"/>
      <protection locked="0"/>
    </xf>
    <xf numFmtId="49" fontId="16" fillId="0" borderId="130" xfId="59" applyNumberFormat="1" applyFont="1" applyFill="1" applyBorder="1" applyAlignment="1" applyProtection="1">
      <alignment horizontal="left" vertical="center"/>
      <protection locked="0"/>
    </xf>
    <xf numFmtId="49" fontId="81" fillId="24" borderId="56" xfId="36" applyNumberFormat="1" applyFont="1" applyFill="1" applyBorder="1" applyAlignment="1" applyProtection="1">
      <alignment vertical="center"/>
      <protection locked="0"/>
    </xf>
    <xf numFmtId="49" fontId="16" fillId="24" borderId="130" xfId="0" applyNumberFormat="1" applyFont="1" applyFill="1" applyBorder="1" applyAlignment="1" applyProtection="1">
      <alignment vertical="center"/>
      <protection locked="0"/>
    </xf>
    <xf numFmtId="49" fontId="16" fillId="24" borderId="53" xfId="0" applyNumberFormat="1" applyFont="1" applyFill="1" applyBorder="1" applyAlignment="1" applyProtection="1">
      <alignment vertical="center"/>
      <protection locked="0"/>
    </xf>
    <xf numFmtId="179" fontId="21" fillId="0" borderId="0" xfId="61" applyFont="1" applyAlignment="1" applyProtection="1">
      <alignment horizontal="left" vertical="center" wrapText="1"/>
      <protection/>
    </xf>
    <xf numFmtId="179" fontId="13" fillId="29" borderId="0" xfId="61" applyFont="1" applyFill="1" applyBorder="1" applyAlignment="1" applyProtection="1">
      <alignment horizontal="left" vertical="center" wrapText="1"/>
      <protection/>
    </xf>
    <xf numFmtId="179" fontId="8" fillId="0" borderId="0" xfId="61" applyFont="1" applyBorder="1" applyAlignment="1" applyProtection="1">
      <alignment horizontal="left" wrapText="1"/>
      <protection/>
    </xf>
    <xf numFmtId="179" fontId="8" fillId="0" borderId="128" xfId="61" applyFont="1" applyBorder="1" applyAlignment="1" applyProtection="1">
      <alignment horizontal="left" wrapText="1"/>
      <protection/>
    </xf>
    <xf numFmtId="0" fontId="71" fillId="16" borderId="56" xfId="0" applyFont="1" applyFill="1" applyBorder="1" applyAlignment="1">
      <alignment horizontal="center" vertical="center" wrapText="1" readingOrder="1"/>
    </xf>
    <xf numFmtId="0" fontId="71" fillId="16" borderId="130" xfId="0" applyFont="1" applyFill="1" applyBorder="1" applyAlignment="1">
      <alignment horizontal="center" vertical="center" wrapText="1" readingOrder="1"/>
    </xf>
    <xf numFmtId="0" fontId="71" fillId="16" borderId="53" xfId="0" applyFont="1" applyFill="1" applyBorder="1" applyAlignment="1">
      <alignment horizontal="center" vertical="center" wrapText="1" readingOrder="1"/>
    </xf>
    <xf numFmtId="49" fontId="16" fillId="0" borderId="153" xfId="59" applyNumberFormat="1" applyFont="1" applyFill="1" applyBorder="1" applyAlignment="1" applyProtection="1">
      <alignment horizontal="left" vertical="center" wrapText="1"/>
      <protection locked="0"/>
    </xf>
    <xf numFmtId="49" fontId="16" fillId="0" borderId="128" xfId="59" applyNumberFormat="1" applyFont="1" applyFill="1" applyBorder="1" applyAlignment="1" applyProtection="1">
      <alignment horizontal="left" vertical="center" wrapText="1"/>
      <protection locked="0"/>
    </xf>
    <xf numFmtId="49" fontId="16" fillId="0" borderId="154" xfId="59" applyNumberFormat="1" applyFont="1" applyFill="1" applyBorder="1" applyAlignment="1" applyProtection="1">
      <alignment horizontal="left" vertical="center" wrapText="1"/>
      <protection locked="0"/>
    </xf>
    <xf numFmtId="49" fontId="16" fillId="0" borderId="21" xfId="59" applyNumberFormat="1" applyFont="1" applyFill="1" applyBorder="1" applyAlignment="1" applyProtection="1">
      <alignment horizontal="left" vertical="center" wrapText="1"/>
      <protection locked="0"/>
    </xf>
    <xf numFmtId="49" fontId="16" fillId="0" borderId="0" xfId="59" applyNumberFormat="1" applyFont="1" applyFill="1" applyBorder="1" applyAlignment="1" applyProtection="1">
      <alignment horizontal="left" vertical="center" wrapText="1"/>
      <protection locked="0"/>
    </xf>
    <xf numFmtId="49" fontId="16" fillId="0" borderId="143" xfId="59" applyNumberFormat="1" applyFont="1" applyFill="1" applyBorder="1" applyAlignment="1" applyProtection="1">
      <alignment horizontal="left" vertical="center" wrapText="1"/>
      <protection locked="0"/>
    </xf>
    <xf numFmtId="49" fontId="16" fillId="0" borderId="52" xfId="59" applyNumberFormat="1" applyFont="1" applyFill="1" applyBorder="1" applyAlignment="1" applyProtection="1">
      <alignment horizontal="left" vertical="center" wrapText="1"/>
      <protection locked="0"/>
    </xf>
    <xf numFmtId="49" fontId="16" fillId="0" borderId="72" xfId="59" applyNumberFormat="1" applyFont="1" applyFill="1" applyBorder="1" applyAlignment="1" applyProtection="1">
      <alignment horizontal="left" vertical="center" wrapText="1"/>
      <protection locked="0"/>
    </xf>
    <xf numFmtId="49" fontId="16" fillId="0" borderId="74" xfId="59" applyNumberFormat="1" applyFont="1" applyFill="1" applyBorder="1" applyAlignment="1" applyProtection="1">
      <alignment horizontal="left" vertical="center" wrapText="1"/>
      <protection locked="0"/>
    </xf>
    <xf numFmtId="179" fontId="36" fillId="0" borderId="0" xfId="61" applyFont="1" applyFill="1" applyBorder="1" applyAlignment="1" applyProtection="1">
      <alignment horizontal="left" vertical="center"/>
      <protection/>
    </xf>
    <xf numFmtId="49" fontId="16" fillId="22" borderId="56" xfId="59" applyNumberFormat="1" applyFont="1" applyFill="1" applyBorder="1" applyAlignment="1" applyProtection="1">
      <alignment horizontal="left" vertical="center"/>
      <protection locked="0"/>
    </xf>
    <xf numFmtId="49" fontId="16" fillId="22" borderId="130" xfId="59" applyNumberFormat="1" applyFont="1" applyFill="1" applyBorder="1" applyAlignment="1" applyProtection="1">
      <alignment horizontal="left" vertical="center"/>
      <protection locked="0"/>
    </xf>
    <xf numFmtId="49" fontId="16" fillId="22" borderId="53" xfId="59" applyNumberFormat="1" applyFont="1" applyFill="1" applyBorder="1" applyAlignment="1" applyProtection="1">
      <alignment horizontal="left" vertical="center"/>
      <protection locked="0"/>
    </xf>
    <xf numFmtId="179" fontId="36" fillId="0" borderId="0" xfId="61" applyFont="1" applyFill="1" applyBorder="1" applyAlignment="1" applyProtection="1">
      <alignment horizontal="center" vertical="center"/>
      <protection/>
    </xf>
    <xf numFmtId="0" fontId="8" fillId="0" borderId="155" xfId="0" applyFont="1" applyFill="1" applyBorder="1" applyAlignment="1" applyProtection="1">
      <alignment horizontal="center" vertical="center"/>
      <protection/>
    </xf>
    <xf numFmtId="0" fontId="8" fillId="0" borderId="156" xfId="0" applyFont="1" applyFill="1" applyBorder="1" applyAlignment="1" applyProtection="1">
      <alignment horizontal="center" vertical="center"/>
      <protection/>
    </xf>
    <xf numFmtId="0" fontId="8" fillId="0" borderId="96"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80"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14" fillId="0" borderId="157" xfId="0" applyFont="1" applyFill="1" applyBorder="1" applyAlignment="1" applyProtection="1">
      <alignment horizontal="center" vertical="center"/>
      <protection/>
    </xf>
    <xf numFmtId="0" fontId="14" fillId="0" borderId="158" xfId="0" applyFont="1" applyFill="1" applyBorder="1" applyAlignment="1" applyProtection="1">
      <alignment horizontal="center" vertical="center"/>
      <protection/>
    </xf>
    <xf numFmtId="0" fontId="14" fillId="0" borderId="149" xfId="0" applyFont="1" applyFill="1" applyBorder="1" applyAlignment="1" applyProtection="1">
      <alignment horizontal="center" vertical="center"/>
      <protection/>
    </xf>
    <xf numFmtId="0" fontId="14" fillId="0" borderId="112" xfId="0" applyFont="1" applyFill="1" applyBorder="1" applyAlignment="1" applyProtection="1">
      <alignment horizontal="center" vertical="center"/>
      <protection/>
    </xf>
    <xf numFmtId="0" fontId="77" fillId="0" borderId="155" xfId="0" applyFont="1" applyBorder="1" applyAlignment="1" applyProtection="1">
      <alignment horizontal="center" vertical="center" wrapText="1"/>
      <protection/>
    </xf>
    <xf numFmtId="0" fontId="77" fillId="0" borderId="156" xfId="0" applyFont="1" applyBorder="1" applyAlignment="1" applyProtection="1">
      <alignment horizontal="center" vertical="center" wrapText="1"/>
      <protection/>
    </xf>
    <xf numFmtId="0" fontId="77" fillId="0" borderId="96" xfId="0" applyFont="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0" fontId="24" fillId="0" borderId="110" xfId="0" applyFont="1" applyBorder="1" applyAlignment="1">
      <alignment horizontal="left" vertical="center" wrapText="1"/>
    </xf>
    <xf numFmtId="0" fontId="20" fillId="24" borderId="32" xfId="63" applyFont="1" applyFill="1" applyBorder="1" applyAlignment="1" applyProtection="1">
      <alignment horizontal="center" vertical="center"/>
      <protection/>
    </xf>
    <xf numFmtId="0" fontId="0" fillId="0" borderId="132" xfId="0" applyBorder="1" applyAlignment="1" applyProtection="1">
      <alignment horizontal="center" vertical="center"/>
      <protection/>
    </xf>
    <xf numFmtId="0" fontId="20" fillId="24" borderId="149" xfId="63" applyFont="1" applyFill="1" applyBorder="1" applyAlignment="1" applyProtection="1">
      <alignment horizontal="center" vertical="center"/>
      <protection/>
    </xf>
    <xf numFmtId="0" fontId="9" fillId="24" borderId="35" xfId="64" applyFont="1" applyFill="1" applyBorder="1" applyAlignment="1">
      <alignment horizontal="center" vertical="center"/>
      <protection/>
    </xf>
    <xf numFmtId="0" fontId="0" fillId="0" borderId="14" xfId="0" applyBorder="1" applyAlignment="1">
      <alignment/>
    </xf>
    <xf numFmtId="0" fontId="0" fillId="0" borderId="34" xfId="0" applyBorder="1" applyAlignment="1">
      <alignment/>
    </xf>
    <xf numFmtId="0" fontId="20" fillId="24" borderId="32" xfId="63" applyFont="1" applyFill="1" applyBorder="1" applyAlignment="1" applyProtection="1">
      <alignment horizontal="center" vertical="center" wrapText="1"/>
      <protection/>
    </xf>
    <xf numFmtId="0" fontId="20" fillId="24" borderId="39" xfId="63"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19" xfId="0" applyFont="1" applyFill="1" applyBorder="1" applyAlignment="1" applyProtection="1">
      <alignment horizontal="center" vertical="center" wrapText="1"/>
      <protection/>
    </xf>
    <xf numFmtId="0" fontId="8" fillId="0" borderId="79" xfId="0" applyFont="1" applyFill="1" applyBorder="1" applyAlignment="1" applyProtection="1">
      <alignment horizontal="center" vertical="center"/>
      <protection/>
    </xf>
    <xf numFmtId="0" fontId="20" fillId="0" borderId="16" xfId="63" applyFont="1" applyFill="1" applyBorder="1" applyAlignment="1" applyProtection="1">
      <alignment horizontal="center" vertical="center" wrapText="1"/>
      <protection/>
    </xf>
    <xf numFmtId="0" fontId="20" fillId="0" borderId="106" xfId="63" applyFont="1" applyFill="1" applyBorder="1" applyAlignment="1" applyProtection="1">
      <alignment horizontal="center" vertical="center" wrapText="1"/>
      <protection/>
    </xf>
    <xf numFmtId="0" fontId="20" fillId="0" borderId="98" xfId="63" applyFont="1" applyFill="1" applyBorder="1" applyAlignment="1" applyProtection="1">
      <alignment horizontal="center" vertical="center" wrapText="1"/>
      <protection/>
    </xf>
    <xf numFmtId="0" fontId="20" fillId="0" borderId="63" xfId="63" applyFont="1" applyFill="1" applyBorder="1" applyAlignment="1" applyProtection="1">
      <alignment horizontal="center" vertical="center" wrapText="1"/>
      <protection/>
    </xf>
    <xf numFmtId="0" fontId="20" fillId="0" borderId="107" xfId="63" applyFont="1" applyFill="1" applyBorder="1" applyAlignment="1" applyProtection="1">
      <alignment horizontal="center" vertical="center" wrapText="1"/>
      <protection/>
    </xf>
    <xf numFmtId="0" fontId="20" fillId="0" borderId="17" xfId="63" applyFont="1" applyFill="1" applyBorder="1" applyAlignment="1" applyProtection="1">
      <alignment horizontal="center" vertical="center" wrapText="1"/>
      <protection/>
    </xf>
    <xf numFmtId="0" fontId="20" fillId="0" borderId="98" xfId="64" applyFont="1" applyFill="1" applyBorder="1" applyAlignment="1" applyProtection="1">
      <alignment horizontal="center" vertical="center" wrapText="1"/>
      <protection/>
    </xf>
    <xf numFmtId="0" fontId="20" fillId="0" borderId="107" xfId="64" applyFont="1" applyFill="1" applyBorder="1" applyAlignment="1" applyProtection="1">
      <alignment horizontal="center" vertical="center" wrapText="1"/>
      <protection/>
    </xf>
    <xf numFmtId="0" fontId="20" fillId="0" borderId="32" xfId="64" applyFont="1" applyFill="1" applyBorder="1" applyAlignment="1" applyProtection="1">
      <alignment horizontal="center" vertical="center" wrapText="1"/>
      <protection/>
    </xf>
    <xf numFmtId="0" fontId="0" fillId="0" borderId="132" xfId="0" applyBorder="1" applyAlignment="1" applyProtection="1">
      <alignment horizontal="center" vertical="center" wrapText="1"/>
      <protection/>
    </xf>
    <xf numFmtId="0" fontId="20" fillId="0" borderId="32" xfId="64" applyFont="1" applyFill="1" applyBorder="1" applyAlignment="1" applyProtection="1">
      <alignment horizontal="center" vertical="center"/>
      <protection/>
    </xf>
    <xf numFmtId="0" fontId="0" fillId="0" borderId="39" xfId="0" applyBorder="1" applyAlignment="1">
      <alignment horizontal="center" vertical="center"/>
    </xf>
    <xf numFmtId="0" fontId="20" fillId="0" borderId="98" xfId="64" applyFont="1" applyFill="1" applyBorder="1" applyAlignment="1" applyProtection="1">
      <alignment horizontal="center" vertical="center"/>
      <protection/>
    </xf>
    <xf numFmtId="0" fontId="20" fillId="0" borderId="63" xfId="64" applyFont="1" applyFill="1" applyBorder="1" applyAlignment="1" applyProtection="1">
      <alignment horizontal="center" vertical="center"/>
      <protection/>
    </xf>
    <xf numFmtId="0" fontId="20" fillId="0" borderId="16" xfId="64" applyFont="1" applyFill="1" applyBorder="1" applyAlignment="1" applyProtection="1">
      <alignment horizontal="center" vertical="center" wrapText="1"/>
      <protection/>
    </xf>
    <xf numFmtId="0" fontId="20" fillId="0" borderId="17" xfId="64"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9" fillId="0" borderId="32" xfId="65" applyFont="1" applyFill="1" applyBorder="1" applyAlignment="1" applyProtection="1">
      <alignment horizontal="center" vertical="center"/>
      <protection/>
    </xf>
    <xf numFmtId="0" fontId="9" fillId="0" borderId="132" xfId="65" applyFont="1" applyFill="1" applyBorder="1" applyAlignment="1" applyProtection="1">
      <alignment horizontal="center" vertical="center"/>
      <protection/>
    </xf>
    <xf numFmtId="0" fontId="9" fillId="0" borderId="32" xfId="66" applyFont="1" applyFill="1" applyBorder="1" applyAlignment="1" applyProtection="1">
      <alignment horizontal="center" vertical="center" wrapText="1"/>
      <protection/>
    </xf>
    <xf numFmtId="0" fontId="9" fillId="0" borderId="132" xfId="66" applyFont="1" applyFill="1" applyBorder="1" applyAlignment="1" applyProtection="1">
      <alignment horizontal="center" vertical="center" wrapText="1"/>
      <protection/>
    </xf>
    <xf numFmtId="0" fontId="9" fillId="0" borderId="32" xfId="66" applyFont="1" applyFill="1" applyBorder="1" applyAlignment="1" applyProtection="1">
      <alignment horizontal="center" vertical="center"/>
      <protection/>
    </xf>
    <xf numFmtId="0" fontId="9" fillId="0" borderId="39" xfId="66" applyFont="1" applyFill="1" applyBorder="1" applyAlignment="1" applyProtection="1">
      <alignment horizontal="center" vertical="center"/>
      <protection/>
    </xf>
    <xf numFmtId="0" fontId="9" fillId="0" borderId="39" xfId="66" applyFont="1" applyFill="1" applyBorder="1" applyAlignment="1" applyProtection="1">
      <alignment horizontal="center" vertical="center" wrapText="1"/>
      <protection/>
    </xf>
    <xf numFmtId="0" fontId="17" fillId="0" borderId="159" xfId="67" applyFont="1" applyFill="1" applyBorder="1" applyAlignment="1" applyProtection="1">
      <alignment horizontal="center" vertical="center" wrapText="1"/>
      <protection/>
    </xf>
    <xf numFmtId="0" fontId="17" fillId="0" borderId="122" xfId="67" applyFont="1" applyFill="1" applyBorder="1" applyAlignment="1" applyProtection="1">
      <alignment horizontal="center" vertical="center" wrapText="1"/>
      <protection/>
    </xf>
    <xf numFmtId="0" fontId="17" fillId="0" borderId="159" xfId="67" applyFont="1" applyFill="1" applyBorder="1" applyAlignment="1">
      <alignment horizontal="center" vertical="center" wrapText="1"/>
      <protection/>
    </xf>
    <xf numFmtId="0" fontId="17" fillId="0" borderId="122" xfId="67" applyFont="1" applyFill="1" applyBorder="1" applyAlignment="1">
      <alignment horizontal="center" vertical="center" wrapText="1"/>
      <protection/>
    </xf>
    <xf numFmtId="0" fontId="9" fillId="0" borderId="3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25" borderId="41" xfId="0" applyFont="1" applyFill="1" applyBorder="1" applyAlignment="1">
      <alignment horizontal="center" vertical="center" wrapText="1"/>
    </xf>
    <xf numFmtId="0" fontId="9" fillId="25" borderId="39" xfId="0" applyFont="1" applyFill="1" applyBorder="1" applyAlignment="1">
      <alignment horizontal="center" vertical="center" wrapText="1"/>
    </xf>
    <xf numFmtId="0" fontId="9" fillId="0" borderId="132" xfId="0" applyFont="1" applyFill="1" applyBorder="1" applyAlignment="1">
      <alignment horizontal="center" vertical="center" wrapText="1"/>
    </xf>
    <xf numFmtId="0" fontId="9" fillId="0" borderId="32" xfId="0" applyFont="1" applyFill="1" applyBorder="1" applyAlignment="1" applyProtection="1">
      <alignment horizontal="center" vertical="center" wrapText="1"/>
      <protection/>
    </xf>
    <xf numFmtId="0" fontId="9" fillId="0" borderId="132" xfId="0" applyFont="1" applyFill="1" applyBorder="1" applyAlignment="1" applyProtection="1">
      <alignment horizontal="center" vertical="center" wrapText="1"/>
      <protection/>
    </xf>
    <xf numFmtId="0" fontId="47" fillId="0" borderId="0" xfId="0" applyFont="1" applyAlignment="1">
      <alignment horizontal="center" wrapText="1"/>
    </xf>
    <xf numFmtId="0" fontId="47" fillId="0" borderId="110" xfId="0" applyFont="1" applyBorder="1" applyAlignment="1">
      <alignment horizontal="center" wrapText="1"/>
    </xf>
    <xf numFmtId="0" fontId="0" fillId="0" borderId="132" xfId="0" applyBorder="1" applyAlignment="1">
      <alignment horizontal="center" vertical="center" wrapText="1"/>
    </xf>
    <xf numFmtId="0" fontId="17" fillId="0" borderId="16" xfId="68" applyFont="1" applyFill="1" applyBorder="1" applyAlignment="1" applyProtection="1">
      <alignment horizontal="center" vertical="center" wrapText="1"/>
      <protection/>
    </xf>
    <xf numFmtId="0" fontId="17" fillId="0" borderId="98" xfId="68" applyFont="1" applyFill="1" applyBorder="1" applyAlignment="1" applyProtection="1">
      <alignment horizontal="center" vertical="center" wrapText="1"/>
      <protection locked="0"/>
    </xf>
    <xf numFmtId="0" fontId="0" fillId="0" borderId="107" xfId="0" applyBorder="1" applyAlignment="1">
      <alignment/>
    </xf>
    <xf numFmtId="0" fontId="17" fillId="0" borderId="98" xfId="68" applyFont="1" applyFill="1" applyBorder="1" applyAlignment="1" applyProtection="1">
      <alignment horizontal="center" vertical="center" wrapText="1"/>
      <protection/>
    </xf>
    <xf numFmtId="0" fontId="17" fillId="0" borderId="107" xfId="68" applyFont="1" applyFill="1" applyBorder="1" applyAlignment="1" applyProtection="1">
      <alignment horizontal="center" vertical="center" wrapText="1"/>
      <protection/>
    </xf>
    <xf numFmtId="0" fontId="76" fillId="0" borderId="16" xfId="0" applyFont="1" applyBorder="1" applyAlignment="1">
      <alignment horizontal="center" vertical="center" wrapText="1"/>
    </xf>
    <xf numFmtId="0" fontId="0" fillId="0" borderId="17" xfId="0" applyBorder="1" applyAlignment="1">
      <alignment vertical="center" wrapText="1"/>
    </xf>
    <xf numFmtId="0" fontId="17" fillId="0" borderId="16" xfId="68" applyFont="1" applyFill="1" applyBorder="1" applyAlignment="1" applyProtection="1">
      <alignment horizontal="center" vertical="center" wrapText="1"/>
      <protection/>
    </xf>
    <xf numFmtId="0" fontId="17" fillId="0" borderId="16" xfId="68" applyFont="1" applyBorder="1" applyAlignment="1">
      <alignment horizontal="center" vertical="center" wrapText="1"/>
      <protection/>
    </xf>
    <xf numFmtId="0" fontId="9" fillId="28" borderId="160" xfId="0" applyFont="1" applyFill="1" applyBorder="1" applyAlignment="1">
      <alignment horizontal="center" vertical="top" wrapText="1"/>
    </xf>
    <xf numFmtId="0" fontId="9" fillId="28" borderId="161" xfId="0" applyFont="1" applyFill="1" applyBorder="1" applyAlignment="1">
      <alignment horizontal="center" vertical="top" wrapText="1"/>
    </xf>
    <xf numFmtId="0" fontId="113" fillId="0" borderId="110" xfId="0" applyFont="1" applyBorder="1" applyAlignment="1">
      <alignment horizontal="center" vertical="center" wrapText="1"/>
    </xf>
    <xf numFmtId="0" fontId="0" fillId="0" borderId="162" xfId="0" applyBorder="1" applyAlignment="1" applyProtection="1">
      <alignment vertical="top" wrapText="1"/>
      <protection locked="0"/>
    </xf>
    <xf numFmtId="0" fontId="0" fillId="0" borderId="147" xfId="0" applyBorder="1" applyAlignment="1" applyProtection="1">
      <alignment vertical="top" wrapText="1"/>
      <protection locked="0"/>
    </xf>
    <xf numFmtId="0" fontId="0" fillId="0" borderId="65" xfId="0" applyBorder="1" applyAlignment="1" applyProtection="1">
      <alignment vertical="top" wrapText="1"/>
      <protection locked="0"/>
    </xf>
    <xf numFmtId="0" fontId="25" fillId="0" borderId="40" xfId="0" applyFont="1" applyBorder="1" applyAlignment="1">
      <alignment horizontal="center"/>
    </xf>
    <xf numFmtId="0" fontId="25" fillId="0" borderId="12" xfId="0" applyFont="1" applyBorder="1" applyAlignment="1">
      <alignment horizontal="center"/>
    </xf>
    <xf numFmtId="0" fontId="25" fillId="0" borderId="27" xfId="0" applyFont="1" applyBorder="1" applyAlignment="1">
      <alignment horizontal="center"/>
    </xf>
    <xf numFmtId="0" fontId="110" fillId="0" borderId="156" xfId="0" applyFont="1" applyBorder="1" applyAlignment="1">
      <alignment horizontal="center"/>
    </xf>
    <xf numFmtId="0" fontId="119" fillId="0" borderId="20" xfId="0" applyFont="1" applyBorder="1" applyAlignment="1">
      <alignment horizontal="left" vertical="center" wrapText="1"/>
    </xf>
    <xf numFmtId="0" fontId="119" fillId="0" borderId="0" xfId="0" applyFont="1" applyAlignment="1">
      <alignment horizontal="left" vertical="center" wrapText="1"/>
    </xf>
    <xf numFmtId="0" fontId="6" fillId="0" borderId="0" xfId="0" applyFont="1" applyAlignment="1">
      <alignment horizontal="left" wrapText="1"/>
    </xf>
    <xf numFmtId="0" fontId="0" fillId="0" borderId="0" xfId="0" applyAlignment="1" applyProtection="1">
      <alignment/>
      <protection/>
    </xf>
    <xf numFmtId="0" fontId="120" fillId="0" borderId="110" xfId="0" applyFont="1" applyBorder="1" applyAlignment="1" applyProtection="1">
      <alignment horizontal="right" vertical="top" wrapText="1"/>
      <protection/>
    </xf>
    <xf numFmtId="0" fontId="121" fillId="0" borderId="110" xfId="0" applyFont="1" applyBorder="1" applyAlignment="1" applyProtection="1">
      <alignment horizontal="right"/>
      <protection/>
    </xf>
    <xf numFmtId="3" fontId="16" fillId="0" borderId="139" xfId="0" applyNumberFormat="1" applyFont="1" applyFill="1" applyBorder="1" applyAlignment="1" applyProtection="1">
      <alignment/>
      <protection locked="0"/>
    </xf>
    <xf numFmtId="3" fontId="16" fillId="0" borderId="51" xfId="0" applyNumberFormat="1" applyFont="1" applyFill="1" applyBorder="1" applyAlignment="1" applyProtection="1">
      <alignment/>
      <protection locked="0"/>
    </xf>
    <xf numFmtId="0" fontId="16" fillId="0" borderId="140" xfId="0" applyNumberFormat="1" applyFont="1" applyFill="1" applyBorder="1" applyAlignment="1" applyProtection="1">
      <alignment/>
      <protection locked="0"/>
    </xf>
    <xf numFmtId="0" fontId="16" fillId="0" borderId="163" xfId="0" applyNumberFormat="1" applyFont="1" applyFill="1" applyBorder="1" applyAlignment="1" applyProtection="1">
      <alignment/>
      <protection locked="0"/>
    </xf>
    <xf numFmtId="0" fontId="8" fillId="0" borderId="56" xfId="0" applyFont="1" applyBorder="1" applyAlignment="1">
      <alignment horizontal="center"/>
    </xf>
    <xf numFmtId="0" fontId="8" fillId="0" borderId="130" xfId="0" applyFont="1" applyBorder="1" applyAlignment="1">
      <alignment horizontal="center"/>
    </xf>
    <xf numFmtId="0" fontId="8" fillId="0" borderId="53" xfId="0" applyFont="1" applyBorder="1" applyAlignment="1">
      <alignment horizontal="center"/>
    </xf>
    <xf numFmtId="0" fontId="24" fillId="0" borderId="0" xfId="0" applyFont="1" applyBorder="1" applyAlignment="1">
      <alignment horizontal="left" vertical="center" wrapText="1"/>
    </xf>
    <xf numFmtId="0" fontId="8" fillId="0" borderId="56" xfId="0" applyFont="1" applyBorder="1" applyAlignment="1">
      <alignment horizontal="center" wrapText="1"/>
    </xf>
    <xf numFmtId="0" fontId="8" fillId="0" borderId="130" xfId="0" applyFont="1" applyBorder="1" applyAlignment="1">
      <alignment horizontal="center" wrapText="1"/>
    </xf>
    <xf numFmtId="0" fontId="8" fillId="0" borderId="53" xfId="0" applyFont="1" applyBorder="1" applyAlignment="1">
      <alignment horizontal="center" wrapText="1"/>
    </xf>
    <xf numFmtId="0" fontId="8" fillId="0" borderId="33" xfId="0" applyFont="1" applyBorder="1" applyAlignment="1">
      <alignment horizontal="center"/>
    </xf>
    <xf numFmtId="0" fontId="8" fillId="0" borderId="56" xfId="0" applyFont="1" applyBorder="1" applyAlignment="1">
      <alignment horizontal="center"/>
    </xf>
    <xf numFmtId="0" fontId="8" fillId="0" borderId="130" xfId="0" applyFont="1" applyBorder="1" applyAlignment="1">
      <alignment horizontal="center"/>
    </xf>
    <xf numFmtId="0" fontId="47" fillId="0" borderId="0" xfId="0" applyFont="1" applyAlignment="1">
      <alignment horizontal="center" vertical="center" wrapText="1"/>
    </xf>
    <xf numFmtId="0" fontId="21" fillId="0" borderId="155" xfId="0" applyFont="1" applyBorder="1" applyAlignment="1">
      <alignment horizontal="left" wrapText="1"/>
    </xf>
    <xf numFmtId="0" fontId="21" fillId="0" borderId="156" xfId="0" applyFont="1" applyBorder="1" applyAlignment="1">
      <alignment horizontal="left" wrapText="1"/>
    </xf>
    <xf numFmtId="0" fontId="21" fillId="0" borderId="96" xfId="0" applyFont="1" applyBorder="1" applyAlignment="1">
      <alignment horizontal="left" wrapText="1"/>
    </xf>
    <xf numFmtId="10" fontId="6" fillId="0" borderId="164" xfId="71" applyNumberFormat="1" applyFont="1" applyBorder="1" applyAlignment="1">
      <alignment horizontal="center" vertical="center" wrapText="1"/>
    </xf>
    <xf numFmtId="10" fontId="6" fillId="0" borderId="160" xfId="71" applyNumberFormat="1" applyFont="1" applyBorder="1" applyAlignment="1">
      <alignment horizontal="center" vertical="center" wrapText="1"/>
    </xf>
    <xf numFmtId="10" fontId="6" fillId="0" borderId="161" xfId="71" applyNumberFormat="1" applyFont="1" applyBorder="1" applyAlignment="1">
      <alignment horizontal="center" vertical="center" wrapText="1"/>
    </xf>
    <xf numFmtId="0" fontId="14" fillId="0" borderId="162" xfId="0" applyFont="1" applyBorder="1" applyAlignment="1">
      <alignment horizontal="right"/>
    </xf>
    <xf numFmtId="0" fontId="14" fillId="0" borderId="147" xfId="0" applyFont="1" applyBorder="1" applyAlignment="1">
      <alignment horizontal="right"/>
    </xf>
    <xf numFmtId="0" fontId="14" fillId="0" borderId="165" xfId="0" applyFont="1" applyBorder="1" applyAlignment="1">
      <alignment horizontal="right"/>
    </xf>
    <xf numFmtId="0" fontId="21" fillId="0" borderId="155" xfId="0" applyFont="1" applyBorder="1" applyAlignment="1">
      <alignment horizontal="left" vertical="top" wrapText="1"/>
    </xf>
    <xf numFmtId="0" fontId="21" fillId="0" borderId="156" xfId="0" applyFont="1" applyBorder="1" applyAlignment="1">
      <alignment horizontal="left" vertical="top" wrapText="1"/>
    </xf>
    <xf numFmtId="0" fontId="21" fillId="0" borderId="96" xfId="0" applyFont="1" applyBorder="1" applyAlignment="1">
      <alignment horizontal="left" vertical="top" wrapText="1"/>
    </xf>
    <xf numFmtId="0" fontId="6" fillId="0" borderId="155" xfId="0" applyFont="1" applyFill="1" applyBorder="1" applyAlignment="1">
      <alignment horizontal="center" vertical="center"/>
    </xf>
    <xf numFmtId="0" fontId="6" fillId="0" borderId="156"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155" xfId="0" applyFont="1" applyBorder="1" applyAlignment="1">
      <alignment horizontal="center" vertical="center" wrapText="1"/>
    </xf>
    <xf numFmtId="0" fontId="0" fillId="0" borderId="156" xfId="0" applyFont="1" applyBorder="1" applyAlignment="1">
      <alignment horizontal="center" vertical="center"/>
    </xf>
    <xf numFmtId="3" fontId="31" fillId="0" borderId="166" xfId="0" applyNumberFormat="1" applyFont="1" applyBorder="1" applyAlignment="1">
      <alignment horizontal="center"/>
    </xf>
    <xf numFmtId="0" fontId="0" fillId="0" borderId="156" xfId="0" applyFont="1" applyBorder="1" applyAlignment="1">
      <alignment/>
    </xf>
    <xf numFmtId="0" fontId="0" fillId="0" borderId="96" xfId="0" applyFont="1" applyBorder="1" applyAlignment="1">
      <alignment/>
    </xf>
    <xf numFmtId="0" fontId="14" fillId="0" borderId="155" xfId="0" applyFont="1" applyFill="1" applyBorder="1" applyAlignment="1">
      <alignment horizontal="center" vertical="center" wrapText="1"/>
    </xf>
    <xf numFmtId="0" fontId="14" fillId="0" borderId="156" xfId="0" applyFont="1" applyFill="1" applyBorder="1" applyAlignment="1">
      <alignment horizontal="center" vertical="center" wrapText="1"/>
    </xf>
    <xf numFmtId="0" fontId="14" fillId="0" borderId="96"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0" xfId="0" applyFont="1" applyFill="1" applyBorder="1" applyAlignment="1">
      <alignment horizontal="center" vertical="center"/>
    </xf>
    <xf numFmtId="0" fontId="6" fillId="0" borderId="15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156" xfId="0" applyFont="1" applyBorder="1" applyAlignment="1">
      <alignment horizontal="center" vertical="center" wrapText="1"/>
    </xf>
    <xf numFmtId="0" fontId="6" fillId="0" borderId="96" xfId="0" applyFont="1" applyBorder="1" applyAlignment="1">
      <alignment horizontal="center" vertical="center" wrapText="1"/>
    </xf>
    <xf numFmtId="0" fontId="0" fillId="0" borderId="96" xfId="0" applyFont="1" applyBorder="1" applyAlignment="1">
      <alignment horizontal="center" vertical="center"/>
    </xf>
    <xf numFmtId="0" fontId="0" fillId="0" borderId="79" xfId="0" applyFont="1" applyBorder="1" applyAlignment="1">
      <alignment horizontal="center" vertical="center"/>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38" xfId="0" applyFont="1" applyBorder="1" applyAlignment="1">
      <alignment horizontal="center" vertical="center"/>
    </xf>
    <xf numFmtId="0" fontId="0" fillId="0" borderId="15" xfId="0" applyFont="1" applyBorder="1" applyAlignment="1">
      <alignment horizontal="center" vertical="center"/>
    </xf>
    <xf numFmtId="0" fontId="0" fillId="0" borderId="110" xfId="0" applyFont="1" applyBorder="1" applyAlignment="1">
      <alignment horizontal="center" vertical="center"/>
    </xf>
    <xf numFmtId="0" fontId="0" fillId="0" borderId="152" xfId="0" applyFont="1" applyBorder="1" applyAlignment="1">
      <alignment horizontal="center" vertical="center"/>
    </xf>
    <xf numFmtId="0" fontId="21" fillId="0" borderId="72" xfId="0" applyFont="1" applyBorder="1" applyAlignment="1">
      <alignment horizontal="center" wrapText="1"/>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17">
    <dxf>
      <font>
        <color rgb="FFFF0000"/>
      </font>
    </dxf>
    <dxf>
      <font>
        <color rgb="FFFF0000"/>
      </font>
    </dxf>
    <dxf>
      <font>
        <color rgb="FFFF0000"/>
      </font>
    </dxf>
    <dxf>
      <font>
        <color rgb="FFFF0000"/>
      </font>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825"/>
          <c:w val="0.999"/>
          <c:h val="0.681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SI_1!$B$222:$B$235</c:f>
              <c:strCache/>
            </c:strRef>
          </c:cat>
          <c:val>
            <c:numRef>
              <c:f>SI_1!$C$222:$C$235</c:f>
              <c:numCache/>
            </c:numRef>
          </c:val>
        </c:ser>
        <c:axId val="6887133"/>
        <c:axId val="61984198"/>
      </c:barChart>
      <c:catAx>
        <c:axId val="688713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61984198"/>
        <c:crossesAt val="0"/>
        <c:auto val="1"/>
        <c:lblOffset val="100"/>
        <c:tickLblSkip val="1"/>
        <c:noMultiLvlLbl val="0"/>
      </c:catAx>
      <c:valAx>
        <c:axId val="61984198"/>
        <c:scaling>
          <c:orientation val="minMax"/>
          <c:max val="1"/>
        </c:scaling>
        <c:axPos val="l"/>
        <c:delete val="1"/>
        <c:majorTickMark val="out"/>
        <c:minorTickMark val="none"/>
        <c:tickLblPos val="nextTo"/>
        <c:crossAx val="6887133"/>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235"/>
          <c:w val="0.99875"/>
          <c:h val="0.773"/>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SI_1!$E$222:$E$237</c:f>
              <c:strCache/>
            </c:strRef>
          </c:cat>
          <c:val>
            <c:numRef>
              <c:f>SI_1!$F$222:$F$237</c:f>
              <c:numCache/>
            </c:numRef>
          </c:val>
        </c:ser>
        <c:axId val="20986871"/>
        <c:axId val="54664112"/>
      </c:barChart>
      <c:catAx>
        <c:axId val="2098687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1" i="0" u="none" baseline="0">
                <a:solidFill>
                  <a:srgbClr val="000000"/>
                </a:solidFill>
              </a:defRPr>
            </a:pPr>
          </a:p>
        </c:txPr>
        <c:crossAx val="54664112"/>
        <c:crosses val="autoZero"/>
        <c:auto val="1"/>
        <c:lblOffset val="100"/>
        <c:tickLblSkip val="1"/>
        <c:noMultiLvlLbl val="0"/>
      </c:catAx>
      <c:valAx>
        <c:axId val="54664112"/>
        <c:scaling>
          <c:orientation val="minMax"/>
        </c:scaling>
        <c:axPos val="l"/>
        <c:delete val="1"/>
        <c:majorTickMark val="out"/>
        <c:minorTickMark val="none"/>
        <c:tickLblPos val="nextTo"/>
        <c:crossAx val="2098687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216</xdr:row>
      <xdr:rowOff>0</xdr:rowOff>
    </xdr:from>
    <xdr:ext cx="104775" cy="190500"/>
    <xdr:sp fLocksText="0">
      <xdr:nvSpPr>
        <xdr:cNvPr id="1" name="Text Box 7"/>
        <xdr:cNvSpPr txBox="1">
          <a:spLocks noChangeArrowheads="1"/>
        </xdr:cNvSpPr>
      </xdr:nvSpPr>
      <xdr:spPr>
        <a:xfrm>
          <a:off x="4800600" y="13716000"/>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216</xdr:row>
      <xdr:rowOff>0</xdr:rowOff>
    </xdr:from>
    <xdr:to>
      <xdr:col>7</xdr:col>
      <xdr:colOff>0</xdr:colOff>
      <xdr:row>217</xdr:row>
      <xdr:rowOff>114300</xdr:rowOff>
    </xdr:to>
    <xdr:graphicFrame>
      <xdr:nvGraphicFramePr>
        <xdr:cNvPr id="4" name="Chart 19"/>
        <xdr:cNvGraphicFramePr/>
      </xdr:nvGraphicFramePr>
      <xdr:xfrm>
        <a:off x="390525" y="13716000"/>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218</xdr:row>
      <xdr:rowOff>9525</xdr:rowOff>
    </xdr:from>
    <xdr:to>
      <xdr:col>7</xdr:col>
      <xdr:colOff>0</xdr:colOff>
      <xdr:row>220</xdr:row>
      <xdr:rowOff>28575</xdr:rowOff>
    </xdr:to>
    <xdr:graphicFrame>
      <xdr:nvGraphicFramePr>
        <xdr:cNvPr id="5" name="Chart 20"/>
        <xdr:cNvGraphicFramePr/>
      </xdr:nvGraphicFramePr>
      <xdr:xfrm>
        <a:off x="371475" y="14859000"/>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1352550</xdr:colOff>
      <xdr:row>0</xdr:row>
      <xdr:rowOff>533400</xdr:rowOff>
    </xdr:to>
    <xdr:sp>
      <xdr:nvSpPr>
        <xdr:cNvPr id="6" name="Testo 1"/>
        <xdr:cNvSpPr>
          <a:spLocks/>
        </xdr:cNvSpPr>
      </xdr:nvSpPr>
      <xdr:spPr>
        <a:xfrm>
          <a:off x="361950" y="66675"/>
          <a:ext cx="9772650"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03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03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2533650"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277850"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30</xdr:col>
      <xdr:colOff>0</xdr:colOff>
      <xdr:row>1</xdr:row>
      <xdr:rowOff>285750</xdr:rowOff>
    </xdr:to>
    <xdr:sp>
      <xdr:nvSpPr>
        <xdr:cNvPr id="1" name="Testo 3"/>
        <xdr:cNvSpPr txBox="1">
          <a:spLocks noChangeArrowheads="1"/>
        </xdr:cNvSpPr>
      </xdr:nvSpPr>
      <xdr:spPr>
        <a:xfrm>
          <a:off x="0" y="581025"/>
          <a:ext cx="51911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31</xdr:col>
      <xdr:colOff>819150</xdr:colOff>
      <xdr:row>1</xdr:row>
      <xdr:rowOff>276225</xdr:rowOff>
    </xdr:to>
    <xdr:sp>
      <xdr:nvSpPr>
        <xdr:cNvPr id="1" name="Testo 3"/>
        <xdr:cNvSpPr txBox="1">
          <a:spLocks noChangeArrowheads="1"/>
        </xdr:cNvSpPr>
      </xdr:nvSpPr>
      <xdr:spPr>
        <a:xfrm>
          <a:off x="0" y="457200"/>
          <a:ext cx="818197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35</xdr:col>
      <xdr:colOff>628650</xdr:colOff>
      <xdr:row>1</xdr:row>
      <xdr:rowOff>276225</xdr:rowOff>
    </xdr:to>
    <xdr:sp>
      <xdr:nvSpPr>
        <xdr:cNvPr id="1" name="Testo 3"/>
        <xdr:cNvSpPr txBox="1">
          <a:spLocks noChangeArrowheads="1"/>
        </xdr:cNvSpPr>
      </xdr:nvSpPr>
      <xdr:spPr>
        <a:xfrm>
          <a:off x="0" y="504825"/>
          <a:ext cx="63341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 ( *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102298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102298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Testo 4"/>
        <xdr:cNvSpPr txBox="1">
          <a:spLocks noChangeArrowheads="1"/>
        </xdr:cNvSpPr>
      </xdr:nvSpPr>
      <xdr:spPr>
        <a:xfrm>
          <a:off x="142589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16</xdr:col>
      <xdr:colOff>0</xdr:colOff>
      <xdr:row>0</xdr:row>
      <xdr:rowOff>0</xdr:rowOff>
    </xdr:from>
    <xdr:to>
      <xdr:col>16</xdr:col>
      <xdr:colOff>0</xdr:colOff>
      <xdr:row>0</xdr:row>
      <xdr:rowOff>0</xdr:rowOff>
    </xdr:to>
    <xdr:sp>
      <xdr:nvSpPr>
        <xdr:cNvPr id="2" name="Testo 2"/>
        <xdr:cNvSpPr>
          <a:spLocks/>
        </xdr:cNvSpPr>
      </xdr:nvSpPr>
      <xdr:spPr>
        <a:xfrm>
          <a:off x="142589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87249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87249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31</xdr:col>
      <xdr:colOff>419100</xdr:colOff>
      <xdr:row>1</xdr:row>
      <xdr:rowOff>276225</xdr:rowOff>
    </xdr:to>
    <xdr:sp>
      <xdr:nvSpPr>
        <xdr:cNvPr id="1" name="Testo 9"/>
        <xdr:cNvSpPr txBox="1">
          <a:spLocks noChangeArrowheads="1"/>
        </xdr:cNvSpPr>
      </xdr:nvSpPr>
      <xdr:spPr>
        <a:xfrm>
          <a:off x="9525" y="342900"/>
          <a:ext cx="666750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a:t>
          </a:r>
          <a:r>
            <a:rPr lang="en-US" cap="none" sz="1000" b="0" i="0" u="none" baseline="0">
              <a:solidFill>
                <a:srgbClr val="000000"/>
              </a:solidFill>
              <a:latin typeface="Arial"/>
              <a:ea typeface="Arial"/>
              <a:cs typeface="Arial"/>
            </a:rPr>
            <a:t>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3435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10</xdr:col>
      <xdr:colOff>0</xdr:colOff>
      <xdr:row>1</xdr:row>
      <xdr:rowOff>295275</xdr:rowOff>
    </xdr:to>
    <xdr:sp>
      <xdr:nvSpPr>
        <xdr:cNvPr id="1" name="Testo 9"/>
        <xdr:cNvSpPr txBox="1">
          <a:spLocks noChangeArrowheads="1"/>
        </xdr:cNvSpPr>
      </xdr:nvSpPr>
      <xdr:spPr>
        <a:xfrm>
          <a:off x="9525" y="590550"/>
          <a:ext cx="74866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64484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50768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700087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0866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666750</xdr:colOff>
      <xdr:row>2</xdr:row>
      <xdr:rowOff>295275</xdr:rowOff>
    </xdr:to>
    <xdr:sp>
      <xdr:nvSpPr>
        <xdr:cNvPr id="1" name="Testo 2"/>
        <xdr:cNvSpPr txBox="1">
          <a:spLocks noChangeArrowheads="1"/>
        </xdr:cNvSpPr>
      </xdr:nvSpPr>
      <xdr:spPr>
        <a:xfrm>
          <a:off x="0" y="657225"/>
          <a:ext cx="66579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65"/>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55" customWidth="1"/>
    <col min="2" max="2" width="25.83203125" style="353" customWidth="1"/>
    <col min="3" max="3" width="31" style="353" customWidth="1"/>
    <col min="4" max="4" width="20.5" style="353" customWidth="1"/>
    <col min="5" max="5" width="40.66015625" style="353" customWidth="1"/>
    <col min="6" max="6" width="29" style="353" customWidth="1"/>
    <col min="7" max="7" width="26" style="353" customWidth="1"/>
    <col min="8" max="10" width="5.33203125" style="331" hidden="1" customWidth="1"/>
    <col min="11" max="11" width="38.83203125" style="331" customWidth="1"/>
    <col min="12" max="16384" width="6.33203125" style="331" customWidth="1"/>
  </cols>
  <sheetData>
    <row r="1" ht="57.75" customHeight="1">
      <c r="A1" s="476" t="s">
        <v>271</v>
      </c>
    </row>
    <row r="2" spans="1:7" s="332" customFormat="1" ht="20.25" customHeight="1">
      <c r="A2" s="477" t="s">
        <v>413</v>
      </c>
      <c r="B2" s="354"/>
      <c r="C2" s="864"/>
      <c r="D2" s="864"/>
      <c r="E2" s="864"/>
      <c r="F2" s="864"/>
      <c r="G2" s="354"/>
    </row>
    <row r="3" spans="1:7" s="332" customFormat="1" ht="27" customHeight="1">
      <c r="A3" s="382"/>
      <c r="B3" s="463"/>
      <c r="C3" s="868" t="str">
        <f>'t1'!A1</f>
        <v>AVVOCATURA DI STATO - anno 2021</v>
      </c>
      <c r="D3" s="868"/>
      <c r="E3" s="868"/>
      <c r="F3" s="868"/>
      <c r="G3" s="354"/>
    </row>
    <row r="4" spans="3:8" ht="13.5">
      <c r="C4" s="356"/>
      <c r="D4" s="356"/>
      <c r="E4" s="356"/>
      <c r="F4" s="356"/>
      <c r="H4" s="333"/>
    </row>
    <row r="5" spans="5:8" ht="13.5">
      <c r="E5" s="355"/>
      <c r="H5" s="333"/>
    </row>
    <row r="6" spans="2:7" ht="18" customHeight="1">
      <c r="B6" s="830" t="s">
        <v>304</v>
      </c>
      <c r="C6" s="831"/>
      <c r="D6" s="831"/>
      <c r="E6" s="831"/>
      <c r="F6" s="831"/>
      <c r="G6" s="832"/>
    </row>
    <row r="7" ht="6" customHeight="1"/>
    <row r="8" spans="1:7" ht="19.5" customHeight="1" hidden="1">
      <c r="A8" s="383"/>
      <c r="B8" s="353" t="s">
        <v>237</v>
      </c>
      <c r="D8" s="357"/>
      <c r="E8" s="843"/>
      <c r="F8" s="844"/>
      <c r="G8" s="842"/>
    </row>
    <row r="9" spans="1:11" ht="28.5" customHeight="1" hidden="1">
      <c r="A9" s="383"/>
      <c r="B9" s="334" t="s">
        <v>238</v>
      </c>
      <c r="C9" s="334"/>
      <c r="D9" s="357"/>
      <c r="E9" s="865"/>
      <c r="F9" s="866"/>
      <c r="G9" s="867"/>
      <c r="K9" s="478"/>
    </row>
    <row r="10" spans="1:11" ht="28.5" customHeight="1">
      <c r="A10" s="383"/>
      <c r="B10" s="334" t="s">
        <v>239</v>
      </c>
      <c r="C10" s="334"/>
      <c r="D10" s="357"/>
      <c r="E10" s="843"/>
      <c r="F10" s="844"/>
      <c r="G10" s="842"/>
      <c r="K10" s="478"/>
    </row>
    <row r="11" spans="1:11" ht="28.5" customHeight="1" hidden="1">
      <c r="A11" s="383"/>
      <c r="B11" s="334" t="s">
        <v>240</v>
      </c>
      <c r="C11" s="334"/>
      <c r="D11" s="357"/>
      <c r="E11" s="843"/>
      <c r="F11" s="844"/>
      <c r="G11" s="842"/>
      <c r="K11" s="478"/>
    </row>
    <row r="12" spans="1:11" ht="28.5" customHeight="1">
      <c r="A12" s="383"/>
      <c r="B12" s="334" t="s">
        <v>241</v>
      </c>
      <c r="C12" s="334"/>
      <c r="D12" s="357"/>
      <c r="E12" s="841"/>
      <c r="F12" s="844"/>
      <c r="G12" s="842"/>
      <c r="K12" s="478"/>
    </row>
    <row r="13" spans="1:11" ht="28.5" customHeight="1" hidden="1">
      <c r="A13" s="383"/>
      <c r="B13" s="334" t="s">
        <v>242</v>
      </c>
      <c r="C13" s="575"/>
      <c r="D13" s="576"/>
      <c r="E13" s="577"/>
      <c r="F13" s="578"/>
      <c r="G13" s="579"/>
      <c r="H13" s="521"/>
      <c r="I13" s="522"/>
      <c r="J13" s="519"/>
      <c r="K13" s="523"/>
    </row>
    <row r="14" spans="1:7" s="336" customFormat="1" ht="20.25" customHeight="1" hidden="1">
      <c r="A14" s="383"/>
      <c r="B14" s="335"/>
      <c r="C14" s="358" t="s">
        <v>243</v>
      </c>
      <c r="D14" s="359" t="s">
        <v>260</v>
      </c>
      <c r="E14" s="358" t="s">
        <v>244</v>
      </c>
      <c r="F14" s="358" t="s">
        <v>276</v>
      </c>
      <c r="G14" s="358"/>
    </row>
    <row r="15" spans="1:7" s="492" customFormat="1" ht="28.5" customHeight="1">
      <c r="A15" s="353"/>
      <c r="B15" s="334" t="s">
        <v>46</v>
      </c>
      <c r="C15" s="491"/>
      <c r="D15" s="845"/>
      <c r="E15" s="846"/>
      <c r="F15" s="846"/>
      <c r="G15" s="847"/>
    </row>
    <row r="16" spans="1:7" ht="18" customHeight="1">
      <c r="A16" s="383"/>
      <c r="B16" s="830" t="s">
        <v>300</v>
      </c>
      <c r="C16" s="831"/>
      <c r="D16" s="831"/>
      <c r="E16" s="831"/>
      <c r="F16" s="831"/>
      <c r="G16" s="832"/>
    </row>
    <row r="17" spans="1:7" s="337" customFormat="1" ht="15" customHeight="1">
      <c r="A17" s="383"/>
      <c r="B17" s="360" t="s">
        <v>245</v>
      </c>
      <c r="C17" s="616"/>
      <c r="D17" s="616"/>
      <c r="E17" s="616"/>
      <c r="F17" s="616"/>
      <c r="G17" s="616"/>
    </row>
    <row r="18" spans="1:7" s="337" customFormat="1" ht="15.75">
      <c r="A18" s="383"/>
      <c r="B18" s="362" t="s">
        <v>246</v>
      </c>
      <c r="C18" s="362"/>
      <c r="D18" s="362" t="s">
        <v>247</v>
      </c>
      <c r="E18" s="362"/>
      <c r="F18" s="363" t="s">
        <v>255</v>
      </c>
      <c r="G18" s="610"/>
    </row>
    <row r="19" spans="1:11" ht="22.5" customHeight="1">
      <c r="A19" s="383"/>
      <c r="B19" s="843"/>
      <c r="C19" s="844"/>
      <c r="D19" s="843"/>
      <c r="E19" s="844"/>
      <c r="F19" s="841"/>
      <c r="G19" s="842"/>
      <c r="K19" s="479"/>
    </row>
    <row r="20" spans="1:7" s="337" customFormat="1" ht="15" customHeight="1">
      <c r="A20" s="383"/>
      <c r="B20" s="360" t="s">
        <v>248</v>
      </c>
      <c r="C20" s="361"/>
      <c r="D20" s="362"/>
      <c r="E20" s="362"/>
      <c r="F20" s="616"/>
      <c r="G20" s="616"/>
    </row>
    <row r="21" spans="1:7" s="337" customFormat="1" ht="15" customHeight="1">
      <c r="A21" s="383"/>
      <c r="B21" s="362" t="s">
        <v>246</v>
      </c>
      <c r="C21" s="362"/>
      <c r="D21" s="362" t="s">
        <v>247</v>
      </c>
      <c r="E21" s="362"/>
      <c r="F21" s="363" t="s">
        <v>255</v>
      </c>
      <c r="G21" s="611"/>
    </row>
    <row r="22" spans="1:11" ht="23.25" customHeight="1">
      <c r="A22" s="383"/>
      <c r="B22" s="839"/>
      <c r="C22" s="840"/>
      <c r="D22" s="839"/>
      <c r="E22" s="840"/>
      <c r="F22" s="839"/>
      <c r="G22" s="840"/>
      <c r="K22" s="479" t="str">
        <f>IF(OR(LEN(B22)&gt;0,LEN(D22)&gt;0),IF(LEN(F22)=0,"E' NECESSARIO COMPILARE IL CAMPO E-MAIL"," ")," ")</f>
        <v> </v>
      </c>
    </row>
    <row r="23" spans="1:11" ht="23.25" customHeight="1">
      <c r="A23" s="383"/>
      <c r="B23" s="839"/>
      <c r="C23" s="840"/>
      <c r="D23" s="839"/>
      <c r="E23" s="840"/>
      <c r="F23" s="839"/>
      <c r="G23" s="840"/>
      <c r="K23" s="479" t="str">
        <f>IF(OR(LEN(B23)&gt;0,LEN(D23)&gt;0),IF(LEN(F23)=0,"E' NECESSARIO COMPILARE IL CAMPO E-MAIL"," ")," ")</f>
        <v> </v>
      </c>
    </row>
    <row r="24" spans="1:11" ht="23.25" customHeight="1">
      <c r="A24" s="383"/>
      <c r="B24" s="839"/>
      <c r="C24" s="840"/>
      <c r="D24" s="839"/>
      <c r="E24" s="840"/>
      <c r="F24" s="839"/>
      <c r="G24" s="840"/>
      <c r="K24" s="479" t="str">
        <f>IF(OR(LEN(B24)&gt;0,LEN(D24)&gt;0),IF(LEN(F24)=0,"E' NECESSARIO COMPILARE IL CAMPO E-MAIL"," ")," ")</f>
        <v> </v>
      </c>
    </row>
    <row r="25" spans="1:11" ht="23.25" customHeight="1">
      <c r="A25" s="383"/>
      <c r="B25" s="839"/>
      <c r="C25" s="840"/>
      <c r="D25" s="839"/>
      <c r="E25" s="840"/>
      <c r="F25" s="839"/>
      <c r="G25" s="840"/>
      <c r="K25" s="479" t="str">
        <f>IF(OR(LEN(B25)&gt;0,LEN(D25)&gt;0),IF(LEN(F25)=0,"E' NECESSARIO COMPILARE IL CAMPO E-MAIL"," ")," ")</f>
        <v> </v>
      </c>
    </row>
    <row r="26" spans="1:11" ht="23.25" customHeight="1">
      <c r="A26" s="383"/>
      <c r="B26" s="839"/>
      <c r="C26" s="840"/>
      <c r="D26" s="839"/>
      <c r="E26" s="840"/>
      <c r="F26" s="839"/>
      <c r="G26" s="840"/>
      <c r="K26" s="479" t="str">
        <f>IF(OR(LEN(B26)&gt;0,LEN(D26)&gt;0),IF(LEN(F26)=0,"E' NECESSARIO COMPILARE IL CAMPO E-MAIL"," ")," ")</f>
        <v> </v>
      </c>
    </row>
    <row r="27" spans="1:7" s="333" customFormat="1" ht="17.25">
      <c r="A27" s="383"/>
      <c r="B27" s="364"/>
      <c r="C27" s="365"/>
      <c r="D27" s="365"/>
      <c r="E27" s="366"/>
      <c r="F27" s="367"/>
      <c r="G27" s="367"/>
    </row>
    <row r="28" spans="1:8" ht="18" customHeight="1">
      <c r="A28" s="383"/>
      <c r="B28" s="369" t="s">
        <v>249</v>
      </c>
      <c r="C28" s="368"/>
      <c r="D28" s="368"/>
      <c r="E28" s="370"/>
      <c r="F28" s="371"/>
      <c r="G28" s="371"/>
      <c r="H28" s="338"/>
    </row>
    <row r="29" spans="1:8" ht="13.5" customHeight="1">
      <c r="A29" s="383"/>
      <c r="B29" s="368"/>
      <c r="C29" s="368"/>
      <c r="D29" s="368"/>
      <c r="E29" s="370"/>
      <c r="F29" s="372"/>
      <c r="G29" s="372"/>
      <c r="H29" s="338"/>
    </row>
    <row r="30" spans="1:8" ht="18" customHeight="1">
      <c r="A30" s="383"/>
      <c r="B30" s="830" t="s">
        <v>301</v>
      </c>
      <c r="C30" s="831"/>
      <c r="D30" s="831"/>
      <c r="E30" s="831"/>
      <c r="F30" s="831"/>
      <c r="G30" s="832"/>
      <c r="H30" s="338"/>
    </row>
    <row r="31" spans="1:7" ht="7.5" customHeight="1">
      <c r="A31" s="383"/>
      <c r="B31" s="667"/>
      <c r="C31" s="668"/>
      <c r="D31" s="668"/>
      <c r="E31" s="355"/>
      <c r="F31" s="668"/>
      <c r="G31" s="668"/>
    </row>
    <row r="32" spans="1:7" s="339" customFormat="1" ht="15.75" customHeight="1">
      <c r="A32" s="383"/>
      <c r="B32" s="669" t="s">
        <v>474</v>
      </c>
      <c r="C32" s="669"/>
      <c r="D32" s="669" t="s">
        <v>475</v>
      </c>
      <c r="E32" s="669" t="s">
        <v>476</v>
      </c>
      <c r="F32" s="726" t="s">
        <v>477</v>
      </c>
      <c r="G32" s="355"/>
    </row>
    <row r="33" spans="1:11" ht="40.5" customHeight="1">
      <c r="A33" s="383"/>
      <c r="B33" s="835"/>
      <c r="C33" s="836"/>
      <c r="D33" s="576"/>
      <c r="E33" s="580"/>
      <c r="F33" s="581"/>
      <c r="G33" s="355"/>
      <c r="K33" s="479" t="str">
        <f>IF(AND(LEN(B33)&gt;0,LEN(D33)&gt;0,LEN(E33)&gt;0,LEN(F33)&gt;0),"","COMPILARE TUTTI I DATI DEL RESPONSABILE CONTRASSEGNATI CON L'ASTERISCO")</f>
        <v>COMPILARE TUTTI I DATI DEL RESPONSABILE CONTRASSEGNATI CON L'ASTERISCO</v>
      </c>
    </row>
    <row r="34" spans="1:7" ht="20.25" customHeight="1" hidden="1">
      <c r="A34" s="383"/>
      <c r="B34" s="837"/>
      <c r="C34" s="838"/>
      <c r="D34" s="727"/>
      <c r="E34" s="480"/>
      <c r="F34" s="728"/>
      <c r="G34" s="355"/>
    </row>
    <row r="35" spans="1:7" ht="18" customHeight="1">
      <c r="A35" s="383"/>
      <c r="B35" s="673"/>
      <c r="C35" s="673"/>
      <c r="D35" s="674"/>
      <c r="E35" s="674"/>
      <c r="F35" s="355"/>
      <c r="G35" s="355"/>
    </row>
    <row r="36" spans="1:8" ht="18" customHeight="1">
      <c r="A36" s="383"/>
      <c r="B36" s="830" t="s">
        <v>430</v>
      </c>
      <c r="C36" s="831"/>
      <c r="D36" s="831"/>
      <c r="E36" s="831"/>
      <c r="F36" s="831"/>
      <c r="G36" s="832"/>
      <c r="H36" s="338"/>
    </row>
    <row r="37" spans="1:7" ht="7.5" customHeight="1">
      <c r="A37" s="383"/>
      <c r="B37" s="667"/>
      <c r="C37" s="668"/>
      <c r="D37" s="668"/>
      <c r="E37" s="355"/>
      <c r="F37" s="668"/>
      <c r="G37" s="668"/>
    </row>
    <row r="38" spans="1:7" s="339" customFormat="1" ht="15.75" customHeight="1">
      <c r="A38" s="383"/>
      <c r="B38" s="669" t="s">
        <v>246</v>
      </c>
      <c r="C38" s="669"/>
      <c r="D38" s="669" t="s">
        <v>247</v>
      </c>
      <c r="E38" s="669" t="s">
        <v>255</v>
      </c>
      <c r="F38" s="373" t="s">
        <v>239</v>
      </c>
      <c r="G38" s="355"/>
    </row>
    <row r="39" spans="1:11" ht="23.25" customHeight="1">
      <c r="A39" s="383"/>
      <c r="B39" s="833"/>
      <c r="C39" s="834"/>
      <c r="D39" s="670"/>
      <c r="E39" s="671"/>
      <c r="F39" s="672"/>
      <c r="G39" s="355"/>
      <c r="K39" s="479"/>
    </row>
    <row r="40" spans="1:7" ht="18" customHeight="1">
      <c r="A40" s="383"/>
      <c r="B40" s="673"/>
      <c r="C40" s="673"/>
      <c r="D40" s="674"/>
      <c r="E40" s="674"/>
      <c r="F40" s="355"/>
      <c r="G40" s="355"/>
    </row>
    <row r="41" spans="1:7" ht="18" customHeight="1">
      <c r="A41" s="383"/>
      <c r="B41" s="830" t="s">
        <v>305</v>
      </c>
      <c r="C41" s="831"/>
      <c r="D41" s="831"/>
      <c r="E41" s="831"/>
      <c r="F41" s="831"/>
      <c r="G41" s="832"/>
    </row>
    <row r="42" spans="1:7" ht="6" customHeight="1" hidden="1">
      <c r="A42" s="383"/>
      <c r="B42" s="334"/>
      <c r="C42" s="334"/>
      <c r="D42" s="374"/>
      <c r="E42" s="374"/>
      <c r="F42" s="375"/>
      <c r="G42" s="375"/>
    </row>
    <row r="43" spans="1:9" ht="15.75" hidden="1">
      <c r="A43" s="383"/>
      <c r="B43" s="340"/>
      <c r="C43" s="334"/>
      <c r="F43" s="350"/>
      <c r="G43" s="350"/>
      <c r="H43" s="384" t="b">
        <v>0</v>
      </c>
      <c r="I43" s="384" t="b">
        <v>0</v>
      </c>
    </row>
    <row r="44" spans="1:11" ht="29.25" customHeight="1" hidden="1">
      <c r="A44" s="383">
        <v>1</v>
      </c>
      <c r="B44" s="849" t="s">
        <v>250</v>
      </c>
      <c r="C44" s="849"/>
      <c r="D44" s="849"/>
      <c r="E44" s="849"/>
      <c r="F44" s="527"/>
      <c r="G44" s="527"/>
      <c r="H44" s="465"/>
      <c r="I44" s="465"/>
      <c r="J44" s="481"/>
      <c r="K44" s="479"/>
    </row>
    <row r="45" spans="2:9" ht="8.25" customHeight="1" hidden="1">
      <c r="B45" s="340"/>
      <c r="C45" s="334"/>
      <c r="F45" s="570"/>
      <c r="G45" s="570"/>
      <c r="H45" s="384"/>
      <c r="I45" s="384"/>
    </row>
    <row r="46" spans="1:11" ht="29.25" customHeight="1" hidden="1">
      <c r="A46" s="383">
        <v>2</v>
      </c>
      <c r="B46" s="849" t="s">
        <v>250</v>
      </c>
      <c r="C46" s="849"/>
      <c r="D46" s="849"/>
      <c r="E46" s="849"/>
      <c r="F46" s="571"/>
      <c r="G46" s="571"/>
      <c r="H46" s="465"/>
      <c r="I46" s="465"/>
      <c r="J46" s="481"/>
      <c r="K46" s="479"/>
    </row>
    <row r="47" spans="1:9" ht="8.25" customHeight="1" hidden="1">
      <c r="A47" s="383"/>
      <c r="B47" s="340"/>
      <c r="C47" s="334"/>
      <c r="F47" s="570"/>
      <c r="G47" s="570"/>
      <c r="H47" s="384"/>
      <c r="I47" s="384"/>
    </row>
    <row r="48" spans="1:11" ht="29.25" customHeight="1" hidden="1">
      <c r="A48" s="383">
        <v>3</v>
      </c>
      <c r="B48" s="849" t="s">
        <v>250</v>
      </c>
      <c r="C48" s="849"/>
      <c r="D48" s="849"/>
      <c r="E48" s="849"/>
      <c r="F48" s="571"/>
      <c r="G48" s="571"/>
      <c r="H48" s="465"/>
      <c r="I48" s="465"/>
      <c r="J48" s="481"/>
      <c r="K48" s="479"/>
    </row>
    <row r="49" spans="1:9" ht="8.25" customHeight="1" hidden="1">
      <c r="A49" s="383"/>
      <c r="B49" s="572"/>
      <c r="C49" s="572"/>
      <c r="D49" s="572"/>
      <c r="E49" s="572"/>
      <c r="F49" s="570"/>
      <c r="G49" s="570"/>
      <c r="H49" s="384"/>
      <c r="I49" s="384"/>
    </row>
    <row r="50" spans="1:11" ht="29.25" customHeight="1" hidden="1">
      <c r="A50" s="383">
        <v>4</v>
      </c>
      <c r="B50" s="849" t="s">
        <v>250</v>
      </c>
      <c r="C50" s="849"/>
      <c r="D50" s="849"/>
      <c r="E50" s="849"/>
      <c r="F50" s="571"/>
      <c r="G50" s="571"/>
      <c r="H50" s="465"/>
      <c r="I50" s="465"/>
      <c r="J50" s="481"/>
      <c r="K50" s="479"/>
    </row>
    <row r="51" spans="1:9" ht="9.75" customHeight="1" hidden="1">
      <c r="A51" s="383"/>
      <c r="H51" s="465"/>
      <c r="I51" s="465"/>
    </row>
    <row r="52" spans="1:7" ht="15.75" hidden="1">
      <c r="A52" s="383"/>
      <c r="B52" s="355"/>
      <c r="C52" s="355"/>
      <c r="F52" s="375"/>
      <c r="G52" s="376"/>
    </row>
    <row r="53" spans="1:11" ht="27" customHeight="1" hidden="1">
      <c r="A53" s="383">
        <v>5</v>
      </c>
      <c r="B53" s="828" t="s">
        <v>250</v>
      </c>
      <c r="C53" s="828"/>
      <c r="D53" s="828"/>
      <c r="E53" s="828"/>
      <c r="F53" s="829"/>
      <c r="G53" s="609"/>
      <c r="K53" s="479"/>
    </row>
    <row r="54" spans="1:7" ht="4.5" customHeight="1" hidden="1">
      <c r="A54" s="383"/>
      <c r="B54" s="340"/>
      <c r="C54" s="340"/>
      <c r="D54" s="601"/>
      <c r="E54" s="601"/>
      <c r="F54" s="601"/>
      <c r="G54" s="378"/>
    </row>
    <row r="55" spans="1:7" ht="15.75" hidden="1">
      <c r="A55" s="383"/>
      <c r="B55" s="602"/>
      <c r="C55" s="602"/>
      <c r="D55" s="603"/>
      <c r="E55" s="604"/>
      <c r="F55" s="518"/>
      <c r="G55" s="376"/>
    </row>
    <row r="56" spans="1:11" ht="24" customHeight="1" hidden="1">
      <c r="A56" s="383">
        <v>6</v>
      </c>
      <c r="B56" s="828" t="s">
        <v>250</v>
      </c>
      <c r="C56" s="828"/>
      <c r="D56" s="828"/>
      <c r="E56" s="828"/>
      <c r="F56" s="829"/>
      <c r="G56" s="609"/>
      <c r="K56" s="479"/>
    </row>
    <row r="57" spans="1:7" ht="4.5" customHeight="1" hidden="1">
      <c r="A57" s="383"/>
      <c r="B57" s="340"/>
      <c r="C57" s="598"/>
      <c r="D57" s="603"/>
      <c r="E57" s="604"/>
      <c r="F57" s="518"/>
      <c r="G57" s="356"/>
    </row>
    <row r="58" spans="1:7" ht="15.75" hidden="1">
      <c r="A58" s="383"/>
      <c r="B58" s="602"/>
      <c r="C58" s="605"/>
      <c r="D58" s="606"/>
      <c r="E58" s="607"/>
      <c r="F58" s="608"/>
      <c r="G58" s="376"/>
    </row>
    <row r="59" spans="1:11" ht="24" customHeight="1" hidden="1">
      <c r="A59" s="383">
        <v>7</v>
      </c>
      <c r="B59" s="828" t="s">
        <v>250</v>
      </c>
      <c r="C59" s="828"/>
      <c r="D59" s="828"/>
      <c r="E59" s="828"/>
      <c r="F59" s="829"/>
      <c r="G59" s="609"/>
      <c r="K59" s="479"/>
    </row>
    <row r="60" spans="1:7" ht="4.5" customHeight="1" hidden="1">
      <c r="A60" s="383"/>
      <c r="B60" s="340"/>
      <c r="C60" s="598"/>
      <c r="D60" s="603"/>
      <c r="E60" s="604"/>
      <c r="F60" s="518"/>
      <c r="G60" s="356"/>
    </row>
    <row r="61" spans="1:7" ht="15.75" hidden="1">
      <c r="A61" s="383"/>
      <c r="B61" s="602"/>
      <c r="C61" s="605"/>
      <c r="D61" s="606"/>
      <c r="E61" s="607"/>
      <c r="F61" s="608"/>
      <c r="G61" s="376"/>
    </row>
    <row r="62" spans="1:11" ht="24" customHeight="1" hidden="1">
      <c r="A62" s="383">
        <v>8</v>
      </c>
      <c r="B62" s="828" t="s">
        <v>250</v>
      </c>
      <c r="C62" s="828"/>
      <c r="D62" s="828"/>
      <c r="E62" s="828"/>
      <c r="F62" s="829"/>
      <c r="G62" s="609"/>
      <c r="K62" s="479"/>
    </row>
    <row r="63" spans="1:7" ht="4.5" customHeight="1">
      <c r="A63" s="383"/>
      <c r="B63" s="340"/>
      <c r="C63" s="598"/>
      <c r="D63" s="603"/>
      <c r="E63" s="604"/>
      <c r="F63" s="518"/>
      <c r="G63" s="356" t="s">
        <v>91</v>
      </c>
    </row>
    <row r="64" spans="1:10" s="355" customFormat="1" ht="15" customHeight="1" hidden="1">
      <c r="A64" s="516"/>
      <c r="B64" s="340"/>
      <c r="C64" s="598"/>
      <c r="D64" s="603"/>
      <c r="E64" s="604"/>
      <c r="F64" s="518"/>
      <c r="G64"/>
      <c r="H64"/>
      <c r="I64" s="520"/>
      <c r="J64" s="520"/>
    </row>
    <row r="65" spans="1:10" s="355" customFormat="1" ht="15" customHeight="1" hidden="1">
      <c r="A65" s="516"/>
      <c r="B65" s="340"/>
      <c r="C65" s="598"/>
      <c r="D65" s="603"/>
      <c r="E65" s="604"/>
      <c r="F65" s="518"/>
      <c r="G65"/>
      <c r="H65"/>
      <c r="I65" s="515"/>
      <c r="J65" s="520"/>
    </row>
    <row r="66" spans="1:10" s="355" customFormat="1" ht="15" customHeight="1" hidden="1">
      <c r="A66" s="516"/>
      <c r="B66" s="340"/>
      <c r="C66" s="598"/>
      <c r="D66" s="603"/>
      <c r="E66" s="604"/>
      <c r="F66" s="518"/>
      <c r="G66"/>
      <c r="H66"/>
      <c r="I66" s="515"/>
      <c r="J66" s="520"/>
    </row>
    <row r="67" spans="1:10" s="355" customFormat="1" ht="15" customHeight="1" hidden="1">
      <c r="A67" s="516"/>
      <c r="B67" s="340"/>
      <c r="C67" s="598"/>
      <c r="D67" s="603"/>
      <c r="E67" s="604"/>
      <c r="F67" s="518"/>
      <c r="G67"/>
      <c r="H67"/>
      <c r="I67" s="515"/>
      <c r="J67" s="520"/>
    </row>
    <row r="68" spans="1:10" s="355" customFormat="1" ht="15" customHeight="1" hidden="1">
      <c r="A68" s="516"/>
      <c r="B68" s="340"/>
      <c r="C68" s="598"/>
      <c r="D68" s="603"/>
      <c r="E68" s="604"/>
      <c r="F68" s="518"/>
      <c r="G68"/>
      <c r="H68"/>
      <c r="I68" s="515"/>
      <c r="J68" s="520"/>
    </row>
    <row r="69" spans="1:10" s="355" customFormat="1" ht="15" customHeight="1" hidden="1">
      <c r="A69" s="516"/>
      <c r="B69" s="340"/>
      <c r="C69" s="598"/>
      <c r="D69" s="603"/>
      <c r="E69" s="604"/>
      <c r="F69" s="518"/>
      <c r="G69"/>
      <c r="H69"/>
      <c r="I69" s="515"/>
      <c r="J69" s="520"/>
    </row>
    <row r="70" spans="1:7" ht="9.75" customHeight="1" hidden="1">
      <c r="A70" s="383"/>
      <c r="B70" s="340"/>
      <c r="C70" s="598"/>
      <c r="D70" s="603"/>
      <c r="E70" s="604"/>
      <c r="F70" s="518"/>
      <c r="G70" s="524"/>
    </row>
    <row r="71" spans="1:7" ht="9.75" customHeight="1" hidden="1">
      <c r="A71" s="383"/>
      <c r="B71" s="340"/>
      <c r="C71" s="598"/>
      <c r="D71" s="603"/>
      <c r="E71" s="604"/>
      <c r="F71" s="518"/>
      <c r="G71" s="524"/>
    </row>
    <row r="72" spans="1:7" ht="9.75" customHeight="1" hidden="1">
      <c r="A72" s="383"/>
      <c r="B72" s="340"/>
      <c r="C72" s="598"/>
      <c r="D72" s="603"/>
      <c r="E72" s="604"/>
      <c r="F72" s="518"/>
      <c r="G72" s="524"/>
    </row>
    <row r="73" spans="1:7" ht="9.75" customHeight="1" hidden="1">
      <c r="A73" s="383"/>
      <c r="B73" s="340"/>
      <c r="C73" s="598"/>
      <c r="D73" s="603"/>
      <c r="E73" s="604"/>
      <c r="F73" s="518"/>
      <c r="G73" s="524"/>
    </row>
    <row r="74" spans="1:7" ht="9.75" customHeight="1" hidden="1">
      <c r="A74" s="383"/>
      <c r="B74" s="340"/>
      <c r="C74" s="598"/>
      <c r="D74" s="603"/>
      <c r="E74" s="604"/>
      <c r="F74" s="518"/>
      <c r="G74" s="524"/>
    </row>
    <row r="75" spans="1:7" ht="9.75" customHeight="1" hidden="1">
      <c r="A75" s="383"/>
      <c r="B75" s="340"/>
      <c r="C75" s="598"/>
      <c r="D75" s="603"/>
      <c r="E75" s="604"/>
      <c r="F75" s="518"/>
      <c r="G75" s="524"/>
    </row>
    <row r="76" spans="1:7" ht="9.75" customHeight="1" hidden="1">
      <c r="A76" s="383"/>
      <c r="B76" s="340"/>
      <c r="C76" s="598"/>
      <c r="D76" s="603"/>
      <c r="E76" s="604"/>
      <c r="F76" s="518"/>
      <c r="G76" s="524"/>
    </row>
    <row r="77" spans="1:7" ht="9.75" customHeight="1" hidden="1">
      <c r="A77" s="383"/>
      <c r="B77" s="340"/>
      <c r="C77" s="598"/>
      <c r="D77" s="603"/>
      <c r="E77" s="604"/>
      <c r="F77" s="518"/>
      <c r="G77" s="524"/>
    </row>
    <row r="78" spans="1:7" ht="9.75" customHeight="1" hidden="1">
      <c r="A78" s="383"/>
      <c r="B78" s="340"/>
      <c r="C78" s="598"/>
      <c r="D78" s="603"/>
      <c r="E78" s="604"/>
      <c r="F78" s="518"/>
      <c r="G78" s="524"/>
    </row>
    <row r="79" spans="1:11" ht="9.75" customHeight="1" hidden="1">
      <c r="A79" s="383"/>
      <c r="B79" s="340"/>
      <c r="C79" s="598"/>
      <c r="D79" s="603"/>
      <c r="E79" s="604"/>
      <c r="F79" s="518"/>
      <c r="G79" s="517"/>
      <c r="K79" s="479"/>
    </row>
    <row r="80" spans="1:7" ht="17.25" customHeight="1" hidden="1">
      <c r="A80" s="383"/>
      <c r="B80" s="340"/>
      <c r="C80" s="598"/>
      <c r="D80" s="603"/>
      <c r="E80" s="604"/>
      <c r="F80" s="518"/>
      <c r="G80" s="356"/>
    </row>
    <row r="81" spans="1:7" ht="15.75">
      <c r="A81" s="383"/>
      <c r="B81" s="602"/>
      <c r="C81" s="605"/>
      <c r="D81" s="606"/>
      <c r="E81" s="607"/>
      <c r="F81" s="608"/>
      <c r="G81" s="376" t="s">
        <v>286</v>
      </c>
    </row>
    <row r="82" spans="1:11" ht="27" customHeight="1">
      <c r="A82" s="383">
        <v>9</v>
      </c>
      <c r="B82" s="828" t="s">
        <v>415</v>
      </c>
      <c r="C82" s="828"/>
      <c r="D82" s="828"/>
      <c r="E82" s="828"/>
      <c r="F82" s="829"/>
      <c r="G82" s="529"/>
      <c r="K82" s="479"/>
    </row>
    <row r="83" spans="1:11" ht="5.25" customHeight="1" hidden="1">
      <c r="A83" s="383"/>
      <c r="B83" s="475"/>
      <c r="C83" s="475"/>
      <c r="D83" s="475"/>
      <c r="E83" s="475"/>
      <c r="F83" s="482"/>
      <c r="G83" s="356"/>
      <c r="K83" s="479"/>
    </row>
    <row r="84" spans="1:7" ht="15.75" hidden="1">
      <c r="A84" s="383"/>
      <c r="B84" s="602"/>
      <c r="C84" s="605"/>
      <c r="D84" s="606"/>
      <c r="E84" s="607"/>
      <c r="F84" s="608"/>
      <c r="G84" s="376"/>
    </row>
    <row r="85" spans="1:11" ht="27" customHeight="1" hidden="1">
      <c r="A85" s="383">
        <v>10</v>
      </c>
      <c r="B85" s="828" t="s">
        <v>250</v>
      </c>
      <c r="C85" s="828"/>
      <c r="D85" s="828"/>
      <c r="E85" s="828"/>
      <c r="F85" s="829"/>
      <c r="G85" s="609"/>
      <c r="K85" s="479"/>
    </row>
    <row r="86" spans="1:11" ht="5.25" customHeight="1" hidden="1">
      <c r="A86" s="383"/>
      <c r="B86" s="475"/>
      <c r="C86" s="475"/>
      <c r="D86" s="475"/>
      <c r="E86" s="475"/>
      <c r="F86" s="482"/>
      <c r="G86" s="356"/>
      <c r="K86" s="479"/>
    </row>
    <row r="87" spans="1:7" ht="15.75" hidden="1">
      <c r="A87" s="383"/>
      <c r="B87" s="602"/>
      <c r="C87" s="605"/>
      <c r="D87" s="606"/>
      <c r="E87" s="607"/>
      <c r="F87" s="608"/>
      <c r="G87" s="376"/>
    </row>
    <row r="88" spans="1:11" ht="27" customHeight="1" hidden="1">
      <c r="A88" s="383">
        <v>11</v>
      </c>
      <c r="B88" s="828" t="s">
        <v>250</v>
      </c>
      <c r="C88" s="828"/>
      <c r="D88" s="828"/>
      <c r="E88" s="828"/>
      <c r="F88" s="829"/>
      <c r="G88" s="609"/>
      <c r="K88" s="479"/>
    </row>
    <row r="89" spans="1:11" ht="5.25" customHeight="1" hidden="1">
      <c r="A89" s="383"/>
      <c r="B89" s="475"/>
      <c r="C89" s="475"/>
      <c r="D89" s="475"/>
      <c r="E89" s="475"/>
      <c r="F89" s="482"/>
      <c r="G89" s="356"/>
      <c r="K89" s="479"/>
    </row>
    <row r="90" spans="1:7" ht="13.5" hidden="1">
      <c r="A90" s="599"/>
      <c r="B90" s="599"/>
      <c r="C90" s="599"/>
      <c r="D90" s="599"/>
      <c r="E90" s="599"/>
      <c r="F90" s="600"/>
      <c r="G90" s="376"/>
    </row>
    <row r="91" spans="1:11" ht="27" customHeight="1" hidden="1">
      <c r="A91" s="383">
        <v>12</v>
      </c>
      <c r="B91" s="828" t="s">
        <v>250</v>
      </c>
      <c r="C91" s="828"/>
      <c r="D91" s="828"/>
      <c r="E91" s="828"/>
      <c r="F91" s="829"/>
      <c r="G91" s="609"/>
      <c r="K91" s="479"/>
    </row>
    <row r="92" spans="1:11" ht="4.5" customHeight="1" hidden="1">
      <c r="A92" s="383"/>
      <c r="B92" s="475"/>
      <c r="C92" s="475"/>
      <c r="D92" s="475"/>
      <c r="E92" s="475"/>
      <c r="F92" s="482"/>
      <c r="G92" s="482"/>
      <c r="K92" s="479"/>
    </row>
    <row r="93" spans="1:7" ht="15.75" hidden="1">
      <c r="A93" s="383"/>
      <c r="B93" s="602"/>
      <c r="C93" s="605"/>
      <c r="D93" s="606"/>
      <c r="E93" s="607"/>
      <c r="F93" s="608"/>
      <c r="G93" s="376"/>
    </row>
    <row r="94" spans="1:11" ht="27" customHeight="1" hidden="1">
      <c r="A94" s="383">
        <v>13</v>
      </c>
      <c r="B94" s="828" t="s">
        <v>250</v>
      </c>
      <c r="C94" s="828"/>
      <c r="D94" s="828"/>
      <c r="E94" s="828"/>
      <c r="F94" s="829"/>
      <c r="G94" s="609"/>
      <c r="K94" s="479"/>
    </row>
    <row r="95" spans="1:11" ht="4.5" customHeight="1" hidden="1">
      <c r="A95" s="383"/>
      <c r="B95" s="475"/>
      <c r="C95" s="475"/>
      <c r="D95" s="475"/>
      <c r="E95" s="475"/>
      <c r="F95" s="482"/>
      <c r="G95" s="482"/>
      <c r="K95" s="479"/>
    </row>
    <row r="96" spans="1:7" ht="15.75" hidden="1">
      <c r="A96" s="383"/>
      <c r="B96" s="602"/>
      <c r="C96" s="605"/>
      <c r="D96" s="606"/>
      <c r="E96" s="607"/>
      <c r="F96" s="608"/>
      <c r="G96" s="376"/>
    </row>
    <row r="97" spans="1:11" ht="27" customHeight="1" hidden="1">
      <c r="A97" s="383">
        <v>30</v>
      </c>
      <c r="B97" s="828" t="s">
        <v>250</v>
      </c>
      <c r="C97" s="828"/>
      <c r="D97" s="828"/>
      <c r="E97" s="828"/>
      <c r="F97" s="829"/>
      <c r="G97" s="609"/>
      <c r="K97" s="479"/>
    </row>
    <row r="98" spans="1:11" ht="4.5" customHeight="1">
      <c r="A98" s="383"/>
      <c r="B98" s="475"/>
      <c r="C98" s="475"/>
      <c r="D98" s="475"/>
      <c r="E98" s="475"/>
      <c r="F98" s="482"/>
      <c r="G98" s="482"/>
      <c r="K98" s="479"/>
    </row>
    <row r="99" spans="1:7" ht="15.75">
      <c r="A99" s="383"/>
      <c r="B99" s="602"/>
      <c r="C99" s="605"/>
      <c r="D99" s="606"/>
      <c r="E99" s="607"/>
      <c r="F99" s="608"/>
      <c r="G99" s="376" t="s">
        <v>251</v>
      </c>
    </row>
    <row r="100" spans="1:11" ht="27" customHeight="1">
      <c r="A100" s="383">
        <v>31</v>
      </c>
      <c r="B100" s="828" t="s">
        <v>416</v>
      </c>
      <c r="C100" s="828"/>
      <c r="D100" s="828"/>
      <c r="E100" s="828"/>
      <c r="F100" s="829"/>
      <c r="G100" s="529"/>
      <c r="K100" s="479"/>
    </row>
    <row r="101" spans="1:11" ht="4.5" customHeight="1">
      <c r="A101" s="383"/>
      <c r="B101" s="475"/>
      <c r="C101" s="475"/>
      <c r="D101" s="475"/>
      <c r="E101" s="475"/>
      <c r="F101" s="482"/>
      <c r="G101" s="482"/>
      <c r="K101" s="479"/>
    </row>
    <row r="102" spans="1:7" ht="15.75" hidden="1">
      <c r="A102" s="383"/>
      <c r="B102" s="602"/>
      <c r="C102" s="605"/>
      <c r="D102" s="606"/>
      <c r="E102" s="607"/>
      <c r="F102" s="608"/>
      <c r="G102" s="376"/>
    </row>
    <row r="103" spans="1:11" ht="27" customHeight="1" hidden="1">
      <c r="A103" s="383">
        <v>32</v>
      </c>
      <c r="B103" s="828" t="s">
        <v>250</v>
      </c>
      <c r="C103" s="828"/>
      <c r="D103" s="828"/>
      <c r="E103" s="828"/>
      <c r="F103" s="829"/>
      <c r="G103" s="609"/>
      <c r="K103" s="479"/>
    </row>
    <row r="104" spans="1:11" ht="4.5" customHeight="1" hidden="1">
      <c r="A104" s="383"/>
      <c r="B104" s="475"/>
      <c r="C104" s="475"/>
      <c r="D104" s="475"/>
      <c r="E104" s="475"/>
      <c r="F104" s="482"/>
      <c r="G104" s="482"/>
      <c r="K104" s="479"/>
    </row>
    <row r="105" spans="1:7" ht="15.75">
      <c r="A105" s="383"/>
      <c r="B105" s="602"/>
      <c r="C105" s="605"/>
      <c r="D105" s="606"/>
      <c r="E105" s="607"/>
      <c r="F105" s="608"/>
      <c r="G105" s="376" t="s">
        <v>251</v>
      </c>
    </row>
    <row r="106" spans="1:11" ht="27" customHeight="1">
      <c r="A106" s="383">
        <v>33</v>
      </c>
      <c r="B106" s="828" t="s">
        <v>417</v>
      </c>
      <c r="C106" s="828"/>
      <c r="D106" s="828"/>
      <c r="E106" s="828"/>
      <c r="F106" s="829"/>
      <c r="G106" s="529"/>
      <c r="K106" s="479"/>
    </row>
    <row r="107" spans="1:11" ht="4.5" customHeight="1">
      <c r="A107" s="383"/>
      <c r="B107" s="475"/>
      <c r="C107" s="475"/>
      <c r="D107" s="475"/>
      <c r="E107" s="475"/>
      <c r="F107" s="482"/>
      <c r="G107" s="482"/>
      <c r="K107" s="479"/>
    </row>
    <row r="108" spans="1:7" ht="15.75">
      <c r="A108" s="383"/>
      <c r="B108" s="602"/>
      <c r="C108" s="605"/>
      <c r="D108" s="606"/>
      <c r="E108" s="607"/>
      <c r="F108" s="608"/>
      <c r="G108" s="376" t="s">
        <v>251</v>
      </c>
    </row>
    <row r="109" spans="1:11" ht="27" customHeight="1">
      <c r="A109" s="383">
        <v>34</v>
      </c>
      <c r="B109" s="828" t="s">
        <v>418</v>
      </c>
      <c r="C109" s="828"/>
      <c r="D109" s="828"/>
      <c r="E109" s="828"/>
      <c r="F109" s="829"/>
      <c r="G109" s="529"/>
      <c r="K109" s="479"/>
    </row>
    <row r="110" spans="1:11" ht="4.5" customHeight="1" hidden="1">
      <c r="A110" s="383"/>
      <c r="B110" s="475"/>
      <c r="C110" s="475"/>
      <c r="D110" s="475"/>
      <c r="E110" s="475"/>
      <c r="F110" s="482"/>
      <c r="G110" s="482"/>
      <c r="K110" s="479"/>
    </row>
    <row r="111" spans="1:7" ht="15.75" hidden="1">
      <c r="A111" s="383"/>
      <c r="B111" s="602"/>
      <c r="C111" s="605"/>
      <c r="D111" s="606"/>
      <c r="E111" s="607"/>
      <c r="F111" s="608"/>
      <c r="G111" s="376"/>
    </row>
    <row r="112" spans="1:11" ht="27" customHeight="1" hidden="1">
      <c r="A112" s="383">
        <v>35</v>
      </c>
      <c r="B112" s="828" t="s">
        <v>250</v>
      </c>
      <c r="C112" s="828"/>
      <c r="D112" s="828"/>
      <c r="E112" s="828"/>
      <c r="F112" s="829"/>
      <c r="G112" s="609"/>
      <c r="K112" s="479"/>
    </row>
    <row r="113" spans="1:11" ht="4.5" customHeight="1" hidden="1">
      <c r="A113" s="383"/>
      <c r="B113" s="475"/>
      <c r="C113" s="475"/>
      <c r="D113" s="475"/>
      <c r="E113" s="475"/>
      <c r="F113" s="482"/>
      <c r="G113" s="482"/>
      <c r="K113" s="479"/>
    </row>
    <row r="114" spans="1:7" ht="15.75" hidden="1">
      <c r="A114" s="383"/>
      <c r="B114" s="602"/>
      <c r="C114" s="605"/>
      <c r="D114" s="606"/>
      <c r="E114" s="607"/>
      <c r="F114" s="608"/>
      <c r="G114" s="376"/>
    </row>
    <row r="115" spans="1:11" ht="27" customHeight="1" hidden="1">
      <c r="A115" s="383">
        <v>36</v>
      </c>
      <c r="B115" s="828" t="s">
        <v>250</v>
      </c>
      <c r="C115" s="828"/>
      <c r="D115" s="828"/>
      <c r="E115" s="828"/>
      <c r="F115" s="829"/>
      <c r="G115" s="609"/>
      <c r="K115" s="479"/>
    </row>
    <row r="116" spans="1:11" ht="4.5" customHeight="1" hidden="1">
      <c r="A116" s="383"/>
      <c r="B116" s="475"/>
      <c r="C116" s="475"/>
      <c r="D116" s="475"/>
      <c r="E116" s="475"/>
      <c r="F116" s="482"/>
      <c r="G116" s="482"/>
      <c r="K116" s="479"/>
    </row>
    <row r="117" spans="1:7" ht="15.75" hidden="1">
      <c r="A117" s="383"/>
      <c r="B117" s="602"/>
      <c r="C117" s="605"/>
      <c r="D117" s="606"/>
      <c r="E117" s="607"/>
      <c r="F117" s="608"/>
      <c r="G117" s="376"/>
    </row>
    <row r="118" spans="1:11" ht="27" customHeight="1" hidden="1">
      <c r="A118" s="383">
        <v>37</v>
      </c>
      <c r="B118" s="828" t="s">
        <v>250</v>
      </c>
      <c r="C118" s="828"/>
      <c r="D118" s="828"/>
      <c r="E118" s="828"/>
      <c r="F118" s="829"/>
      <c r="G118" s="609"/>
      <c r="K118" s="479"/>
    </row>
    <row r="119" spans="1:11" ht="4.5" customHeight="1" hidden="1">
      <c r="A119" s="383"/>
      <c r="B119" s="475"/>
      <c r="C119" s="475"/>
      <c r="D119" s="475"/>
      <c r="E119" s="475"/>
      <c r="F119" s="482"/>
      <c r="G119" s="482"/>
      <c r="K119" s="479"/>
    </row>
    <row r="120" spans="1:7" ht="15.75" hidden="1">
      <c r="A120" s="383"/>
      <c r="B120" s="602"/>
      <c r="C120" s="605"/>
      <c r="D120" s="606"/>
      <c r="E120" s="607"/>
      <c r="F120" s="608"/>
      <c r="G120" s="376"/>
    </row>
    <row r="121" spans="1:11" ht="27" customHeight="1" hidden="1">
      <c r="A121" s="383">
        <v>38</v>
      </c>
      <c r="B121" s="828" t="s">
        <v>250</v>
      </c>
      <c r="C121" s="828"/>
      <c r="D121" s="828"/>
      <c r="E121" s="828"/>
      <c r="F121" s="829"/>
      <c r="G121" s="609"/>
      <c r="K121" s="479"/>
    </row>
    <row r="122" spans="1:11" ht="4.5" customHeight="1" hidden="1">
      <c r="A122" s="383"/>
      <c r="B122" s="475"/>
      <c r="C122" s="475"/>
      <c r="D122" s="475"/>
      <c r="E122" s="475"/>
      <c r="F122" s="482"/>
      <c r="G122" s="482"/>
      <c r="K122" s="479"/>
    </row>
    <row r="123" spans="1:7" ht="15.75" hidden="1">
      <c r="A123" s="383"/>
      <c r="B123" s="602"/>
      <c r="C123" s="605"/>
      <c r="D123" s="606"/>
      <c r="E123" s="607"/>
      <c r="F123" s="608"/>
      <c r="G123" s="376"/>
    </row>
    <row r="124" spans="1:11" ht="27" customHeight="1" hidden="1">
      <c r="A124" s="383">
        <v>39</v>
      </c>
      <c r="B124" s="828" t="s">
        <v>250</v>
      </c>
      <c r="C124" s="828"/>
      <c r="D124" s="828"/>
      <c r="E124" s="828"/>
      <c r="F124" s="829"/>
      <c r="G124" s="609"/>
      <c r="K124" s="479"/>
    </row>
    <row r="125" spans="1:11" ht="4.5" customHeight="1" hidden="1">
      <c r="A125" s="383"/>
      <c r="B125" s="475"/>
      <c r="C125" s="475"/>
      <c r="D125" s="475"/>
      <c r="E125" s="475"/>
      <c r="F125" s="482"/>
      <c r="G125" s="482"/>
      <c r="K125" s="479"/>
    </row>
    <row r="126" spans="1:7" ht="15.75" hidden="1">
      <c r="A126" s="383"/>
      <c r="B126" s="602"/>
      <c r="C126" s="605"/>
      <c r="D126" s="606"/>
      <c r="E126" s="607"/>
      <c r="F126" s="608"/>
      <c r="G126" s="376"/>
    </row>
    <row r="127" spans="1:11" ht="27" customHeight="1" hidden="1">
      <c r="A127" s="383">
        <v>40</v>
      </c>
      <c r="B127" s="828" t="s">
        <v>250</v>
      </c>
      <c r="C127" s="828"/>
      <c r="D127" s="828"/>
      <c r="E127" s="828"/>
      <c r="F127" s="829"/>
      <c r="G127" s="609"/>
      <c r="K127" s="479"/>
    </row>
    <row r="128" spans="1:11" ht="4.5" customHeight="1" hidden="1">
      <c r="A128" s="383"/>
      <c r="B128" s="475"/>
      <c r="C128" s="475"/>
      <c r="D128" s="475"/>
      <c r="E128" s="475"/>
      <c r="F128" s="482"/>
      <c r="G128" s="482"/>
      <c r="K128" s="479"/>
    </row>
    <row r="129" spans="1:7" ht="15.75" hidden="1">
      <c r="A129" s="383"/>
      <c r="B129" s="602"/>
      <c r="C129" s="605"/>
      <c r="D129" s="606"/>
      <c r="E129" s="607"/>
      <c r="F129" s="608"/>
      <c r="G129" s="376"/>
    </row>
    <row r="130" spans="1:11" ht="27" customHeight="1" hidden="1">
      <c r="A130" s="383">
        <v>41</v>
      </c>
      <c r="B130" s="828" t="s">
        <v>250</v>
      </c>
      <c r="C130" s="828"/>
      <c r="D130" s="828"/>
      <c r="E130" s="828"/>
      <c r="F130" s="829"/>
      <c r="G130" s="609"/>
      <c r="K130" s="479"/>
    </row>
    <row r="131" spans="1:11" ht="4.5" customHeight="1" hidden="1">
      <c r="A131" s="383"/>
      <c r="B131" s="475"/>
      <c r="C131" s="475"/>
      <c r="D131" s="475"/>
      <c r="E131" s="475"/>
      <c r="F131" s="482"/>
      <c r="G131" s="482"/>
      <c r="K131" s="479"/>
    </row>
    <row r="132" spans="1:7" ht="15.75" hidden="1">
      <c r="A132" s="383"/>
      <c r="B132" s="602"/>
      <c r="C132" s="605"/>
      <c r="D132" s="606"/>
      <c r="E132" s="607"/>
      <c r="F132" s="608"/>
      <c r="G132" s="376"/>
    </row>
    <row r="133" spans="1:11" ht="27" customHeight="1" hidden="1">
      <c r="A133" s="383">
        <v>42</v>
      </c>
      <c r="B133" s="828" t="s">
        <v>250</v>
      </c>
      <c r="C133" s="828"/>
      <c r="D133" s="828"/>
      <c r="E133" s="828"/>
      <c r="F133" s="829"/>
      <c r="G133" s="609"/>
      <c r="K133" s="479"/>
    </row>
    <row r="134" spans="1:11" ht="4.5" customHeight="1" hidden="1">
      <c r="A134" s="383"/>
      <c r="B134" s="475"/>
      <c r="C134" s="475"/>
      <c r="D134" s="475"/>
      <c r="E134" s="475"/>
      <c r="F134" s="482"/>
      <c r="G134" s="482"/>
      <c r="K134" s="479"/>
    </row>
    <row r="135" spans="1:7" ht="15.75" hidden="1">
      <c r="A135" s="383"/>
      <c r="B135" s="602"/>
      <c r="C135" s="605"/>
      <c r="D135" s="606"/>
      <c r="E135" s="607"/>
      <c r="F135" s="608"/>
      <c r="G135" s="376"/>
    </row>
    <row r="136" spans="1:11" ht="27" customHeight="1" hidden="1">
      <c r="A136" s="383">
        <v>43</v>
      </c>
      <c r="B136" s="828" t="s">
        <v>250</v>
      </c>
      <c r="C136" s="828"/>
      <c r="D136" s="828"/>
      <c r="E136" s="828"/>
      <c r="F136" s="829"/>
      <c r="G136" s="609"/>
      <c r="K136" s="479"/>
    </row>
    <row r="137" spans="1:11" ht="4.5" customHeight="1" hidden="1">
      <c r="A137" s="383"/>
      <c r="B137" s="475"/>
      <c r="C137" s="475"/>
      <c r="D137" s="475"/>
      <c r="E137" s="475"/>
      <c r="F137" s="482"/>
      <c r="G137" s="482"/>
      <c r="K137" s="479"/>
    </row>
    <row r="138" spans="1:7" ht="15.75" hidden="1">
      <c r="A138" s="383"/>
      <c r="B138" s="602"/>
      <c r="C138" s="605"/>
      <c r="D138" s="606"/>
      <c r="E138" s="607"/>
      <c r="F138" s="608"/>
      <c r="G138" s="376"/>
    </row>
    <row r="139" spans="1:11" ht="27" customHeight="1" hidden="1">
      <c r="A139" s="383">
        <v>44</v>
      </c>
      <c r="B139" s="828" t="s">
        <v>250</v>
      </c>
      <c r="C139" s="828"/>
      <c r="D139" s="828"/>
      <c r="E139" s="828"/>
      <c r="F139" s="829"/>
      <c r="G139" s="609"/>
      <c r="K139" s="479"/>
    </row>
    <row r="140" spans="1:11" ht="4.5" customHeight="1" hidden="1">
      <c r="A140" s="383"/>
      <c r="B140" s="475"/>
      <c r="C140" s="475"/>
      <c r="D140" s="475"/>
      <c r="E140" s="475"/>
      <c r="F140" s="482"/>
      <c r="G140" s="482"/>
      <c r="K140" s="479"/>
    </row>
    <row r="141" spans="1:7" ht="15.75" hidden="1">
      <c r="A141" s="383"/>
      <c r="B141" s="602"/>
      <c r="C141" s="605"/>
      <c r="D141" s="606"/>
      <c r="E141" s="607"/>
      <c r="F141" s="608"/>
      <c r="G141" s="376"/>
    </row>
    <row r="142" spans="1:11" ht="27" customHeight="1" hidden="1">
      <c r="A142" s="383">
        <v>45</v>
      </c>
      <c r="B142" s="828" t="s">
        <v>250</v>
      </c>
      <c r="C142" s="828"/>
      <c r="D142" s="828"/>
      <c r="E142" s="828"/>
      <c r="F142" s="829"/>
      <c r="G142" s="609"/>
      <c r="K142" s="479"/>
    </row>
    <row r="143" spans="1:11" ht="4.5" customHeight="1" hidden="1">
      <c r="A143" s="383"/>
      <c r="B143" s="475"/>
      <c r="C143" s="475"/>
      <c r="D143" s="475"/>
      <c r="E143" s="475"/>
      <c r="F143" s="482"/>
      <c r="G143" s="482"/>
      <c r="K143" s="479"/>
    </row>
    <row r="144" spans="1:7" ht="15.75" hidden="1">
      <c r="A144" s="383"/>
      <c r="B144" s="602"/>
      <c r="C144" s="605"/>
      <c r="D144" s="606"/>
      <c r="E144" s="607"/>
      <c r="F144" s="608"/>
      <c r="G144" s="376"/>
    </row>
    <row r="145" spans="1:11" ht="27" customHeight="1" hidden="1">
      <c r="A145" s="383">
        <v>46</v>
      </c>
      <c r="B145" s="828" t="s">
        <v>250</v>
      </c>
      <c r="C145" s="828"/>
      <c r="D145" s="828"/>
      <c r="E145" s="828"/>
      <c r="F145" s="829"/>
      <c r="G145" s="609"/>
      <c r="K145" s="479"/>
    </row>
    <row r="146" spans="1:11" ht="3.75" customHeight="1" hidden="1">
      <c r="A146" s="383"/>
      <c r="B146" s="475"/>
      <c r="C146" s="475"/>
      <c r="D146" s="475"/>
      <c r="E146" s="475"/>
      <c r="F146" s="482"/>
      <c r="G146" s="811"/>
      <c r="K146" s="479"/>
    </row>
    <row r="147" spans="1:11" s="355" customFormat="1" ht="15" customHeight="1" hidden="1">
      <c r="A147" s="383"/>
      <c r="B147" s="475"/>
      <c r="C147" s="475"/>
      <c r="D147" s="475"/>
      <c r="E147" s="475"/>
      <c r="F147" s="482"/>
      <c r="G147" s="812"/>
      <c r="K147" s="813"/>
    </row>
    <row r="148" spans="1:11" s="355" customFormat="1" ht="27" customHeight="1" hidden="1">
      <c r="A148" s="383">
        <v>47</v>
      </c>
      <c r="B148" s="828" t="s">
        <v>250</v>
      </c>
      <c r="C148" s="828"/>
      <c r="D148" s="828"/>
      <c r="E148" s="828"/>
      <c r="F148" s="829"/>
      <c r="G148" s="609"/>
      <c r="K148" s="813"/>
    </row>
    <row r="149" spans="1:11" s="355" customFormat="1" ht="3.75" customHeight="1" hidden="1">
      <c r="A149" s="383"/>
      <c r="C149" s="475"/>
      <c r="D149" s="475"/>
      <c r="E149" s="475"/>
      <c r="F149" s="482"/>
      <c r="G149" s="482"/>
      <c r="K149" s="813"/>
    </row>
    <row r="150" spans="1:11" s="355" customFormat="1" ht="15" customHeight="1" hidden="1">
      <c r="A150" s="383"/>
      <c r="B150" s="475"/>
      <c r="C150" s="475"/>
      <c r="D150" s="475"/>
      <c r="E150" s="475"/>
      <c r="F150" s="482"/>
      <c r="G150" s="812"/>
      <c r="K150" s="813"/>
    </row>
    <row r="151" spans="1:11" s="355" customFormat="1" ht="27" customHeight="1" hidden="1">
      <c r="A151" s="383">
        <v>48</v>
      </c>
      <c r="B151" s="828" t="s">
        <v>250</v>
      </c>
      <c r="C151" s="828"/>
      <c r="D151" s="828"/>
      <c r="E151" s="828"/>
      <c r="F151" s="829"/>
      <c r="G151" s="609"/>
      <c r="K151" s="813"/>
    </row>
    <row r="152" spans="1:11" s="355" customFormat="1" ht="3" customHeight="1" hidden="1">
      <c r="A152" s="383"/>
      <c r="B152" s="475"/>
      <c r="C152" s="475"/>
      <c r="D152" s="475"/>
      <c r="E152" s="475"/>
      <c r="F152" s="482"/>
      <c r="G152" s="811"/>
      <c r="K152" s="813"/>
    </row>
    <row r="153" spans="1:11" s="355" customFormat="1" ht="15" customHeight="1" hidden="1">
      <c r="A153" s="383"/>
      <c r="B153" s="475"/>
      <c r="C153" s="475"/>
      <c r="D153" s="475"/>
      <c r="E153" s="475"/>
      <c r="F153" s="482"/>
      <c r="G153" s="812"/>
      <c r="K153" s="813"/>
    </row>
    <row r="154" spans="1:11" s="355" customFormat="1" ht="27" customHeight="1" hidden="1">
      <c r="A154" s="383">
        <v>49</v>
      </c>
      <c r="B154" s="828" t="s">
        <v>250</v>
      </c>
      <c r="C154" s="828"/>
      <c r="D154" s="828"/>
      <c r="E154" s="828"/>
      <c r="F154" s="829"/>
      <c r="G154" s="609"/>
      <c r="K154" s="813"/>
    </row>
    <row r="155" spans="1:11" ht="4.5" customHeight="1" hidden="1">
      <c r="A155" s="383"/>
      <c r="B155" s="475"/>
      <c r="C155" s="475"/>
      <c r="D155" s="475"/>
      <c r="E155" s="475"/>
      <c r="F155" s="482"/>
      <c r="G155" s="482"/>
      <c r="K155" s="479"/>
    </row>
    <row r="156" spans="1:7" ht="15.75" hidden="1">
      <c r="A156" s="383"/>
      <c r="B156" s="602"/>
      <c r="C156" s="605"/>
      <c r="D156" s="606"/>
      <c r="E156" s="607"/>
      <c r="F156" s="608"/>
      <c r="G156" s="812"/>
    </row>
    <row r="157" spans="1:11" ht="27" customHeight="1" hidden="1">
      <c r="A157" s="383">
        <v>50</v>
      </c>
      <c r="B157" s="828" t="s">
        <v>250</v>
      </c>
      <c r="C157" s="828"/>
      <c r="D157" s="828"/>
      <c r="E157" s="828"/>
      <c r="F157" s="829"/>
      <c r="G157" s="609"/>
      <c r="K157" s="479"/>
    </row>
    <row r="158" spans="1:11" ht="4.5" customHeight="1" hidden="1">
      <c r="A158" s="383"/>
      <c r="B158" s="475"/>
      <c r="C158" s="475"/>
      <c r="D158" s="475"/>
      <c r="E158" s="475"/>
      <c r="F158" s="482"/>
      <c r="G158" s="482"/>
      <c r="K158" s="479"/>
    </row>
    <row r="159" spans="1:7" ht="15.75" hidden="1">
      <c r="A159" s="383"/>
      <c r="B159" s="602"/>
      <c r="C159" s="605"/>
      <c r="D159" s="606"/>
      <c r="E159" s="607"/>
      <c r="F159" s="608"/>
      <c r="G159" s="812"/>
    </row>
    <row r="160" spans="1:11" ht="27" customHeight="1" hidden="1">
      <c r="A160" s="383">
        <v>51</v>
      </c>
      <c r="B160" s="828" t="s">
        <v>250</v>
      </c>
      <c r="C160" s="828"/>
      <c r="D160" s="828"/>
      <c r="E160" s="828"/>
      <c r="F160" s="829"/>
      <c r="G160" s="609"/>
      <c r="K160" s="479"/>
    </row>
    <row r="161" spans="1:11" ht="4.5" customHeight="1" hidden="1">
      <c r="A161" s="383"/>
      <c r="B161" s="475"/>
      <c r="C161" s="475"/>
      <c r="D161" s="475"/>
      <c r="E161" s="475"/>
      <c r="F161" s="482"/>
      <c r="G161" s="482"/>
      <c r="K161" s="479"/>
    </row>
    <row r="162" spans="1:7" ht="15.75" hidden="1">
      <c r="A162" s="383"/>
      <c r="B162" s="602"/>
      <c r="C162" s="605"/>
      <c r="D162" s="606"/>
      <c r="E162" s="607"/>
      <c r="F162" s="608"/>
      <c r="G162" s="812"/>
    </row>
    <row r="163" spans="1:11" ht="27" customHeight="1" hidden="1">
      <c r="A163" s="383">
        <v>52</v>
      </c>
      <c r="B163" s="828" t="s">
        <v>250</v>
      </c>
      <c r="C163" s="828"/>
      <c r="D163" s="828"/>
      <c r="E163" s="828"/>
      <c r="F163" s="829"/>
      <c r="G163" s="609"/>
      <c r="K163" s="479"/>
    </row>
    <row r="164" spans="1:11" ht="4.5" customHeight="1" hidden="1">
      <c r="A164" s="383"/>
      <c r="B164" s="475"/>
      <c r="C164" s="475"/>
      <c r="D164" s="475"/>
      <c r="E164" s="475"/>
      <c r="F164" s="482"/>
      <c r="G164" s="482"/>
      <c r="K164" s="479"/>
    </row>
    <row r="165" spans="1:7" ht="15.75" hidden="1">
      <c r="A165" s="383"/>
      <c r="B165" s="602"/>
      <c r="C165" s="605"/>
      <c r="D165" s="606"/>
      <c r="E165" s="607"/>
      <c r="F165" s="608"/>
      <c r="G165" s="812"/>
    </row>
    <row r="166" spans="1:11" ht="27" customHeight="1" hidden="1">
      <c r="A166" s="383">
        <v>53</v>
      </c>
      <c r="B166" s="828" t="s">
        <v>250</v>
      </c>
      <c r="C166" s="828"/>
      <c r="D166" s="828"/>
      <c r="E166" s="828"/>
      <c r="F166" s="829"/>
      <c r="G166" s="609"/>
      <c r="K166" s="479"/>
    </row>
    <row r="167" spans="1:11" ht="4.5" customHeight="1" hidden="1">
      <c r="A167" s="383"/>
      <c r="B167" s="475"/>
      <c r="C167" s="475"/>
      <c r="D167" s="475"/>
      <c r="E167" s="475"/>
      <c r="F167" s="482"/>
      <c r="G167" s="482"/>
      <c r="K167" s="479"/>
    </row>
    <row r="168" spans="1:7" ht="15.75" hidden="1">
      <c r="A168" s="383"/>
      <c r="B168" s="602"/>
      <c r="C168" s="605"/>
      <c r="D168" s="606"/>
      <c r="E168" s="607"/>
      <c r="F168" s="608"/>
      <c r="G168" s="812"/>
    </row>
    <row r="169" spans="1:11" ht="27" customHeight="1" hidden="1">
      <c r="A169" s="383">
        <v>54</v>
      </c>
      <c r="B169" s="828" t="s">
        <v>250</v>
      </c>
      <c r="C169" s="828"/>
      <c r="D169" s="828"/>
      <c r="E169" s="828"/>
      <c r="F169" s="829"/>
      <c r="G169" s="609"/>
      <c r="K169" s="479"/>
    </row>
    <row r="170" spans="1:11" ht="3.75" customHeight="1" hidden="1">
      <c r="A170" s="383"/>
      <c r="B170" s="475"/>
      <c r="C170" s="475"/>
      <c r="D170" s="475"/>
      <c r="E170" s="475"/>
      <c r="F170" s="482"/>
      <c r="G170" s="482"/>
      <c r="K170" s="479"/>
    </row>
    <row r="171" spans="1:7" ht="15.75" hidden="1">
      <c r="A171" s="383"/>
      <c r="B171" s="602"/>
      <c r="C171" s="605"/>
      <c r="D171" s="606"/>
      <c r="E171" s="607"/>
      <c r="F171" s="608"/>
      <c r="G171" s="812" t="s">
        <v>251</v>
      </c>
    </row>
    <row r="172" spans="1:11" ht="27" customHeight="1" hidden="1">
      <c r="A172" s="383">
        <v>55</v>
      </c>
      <c r="B172" s="828" t="s">
        <v>528</v>
      </c>
      <c r="C172" s="828"/>
      <c r="D172" s="828"/>
      <c r="E172" s="828"/>
      <c r="F172" s="829"/>
      <c r="G172" s="827"/>
      <c r="K172" s="479"/>
    </row>
    <row r="173" spans="1:11" ht="4.5" customHeight="1" hidden="1">
      <c r="A173" s="383"/>
      <c r="B173" s="475"/>
      <c r="C173" s="475"/>
      <c r="D173" s="475"/>
      <c r="E173" s="475"/>
      <c r="F173" s="482"/>
      <c r="G173" s="482"/>
      <c r="K173" s="479"/>
    </row>
    <row r="174" spans="1:7" ht="15.75" hidden="1">
      <c r="A174" s="383"/>
      <c r="B174" s="602"/>
      <c r="C174" s="605"/>
      <c r="D174" s="606"/>
      <c r="E174" s="607"/>
      <c r="F174" s="608"/>
      <c r="G174" s="812" t="s">
        <v>529</v>
      </c>
    </row>
    <row r="175" spans="1:11" ht="27" customHeight="1" hidden="1">
      <c r="A175" s="383">
        <v>56</v>
      </c>
      <c r="B175" s="828" t="s">
        <v>530</v>
      </c>
      <c r="C175" s="828"/>
      <c r="D175" s="828"/>
      <c r="E175" s="828"/>
      <c r="F175" s="829"/>
      <c r="G175" s="827"/>
      <c r="K175" s="479"/>
    </row>
    <row r="176" spans="1:11" ht="4.5" customHeight="1">
      <c r="A176" s="383"/>
      <c r="B176" s="475"/>
      <c r="C176" s="475"/>
      <c r="D176" s="475"/>
      <c r="E176" s="475"/>
      <c r="F176" s="482"/>
      <c r="G176" s="482"/>
      <c r="K176" s="479"/>
    </row>
    <row r="177" spans="1:7" ht="15.75" hidden="1">
      <c r="A177" s="383"/>
      <c r="B177" s="602"/>
      <c r="C177" s="605"/>
      <c r="D177" s="606"/>
      <c r="E177" s="607"/>
      <c r="F177" s="608"/>
      <c r="G177" s="812"/>
    </row>
    <row r="178" spans="1:11" ht="27" customHeight="1" hidden="1">
      <c r="A178" s="383">
        <v>57</v>
      </c>
      <c r="B178" s="828" t="s">
        <v>250</v>
      </c>
      <c r="C178" s="828"/>
      <c r="D178" s="828"/>
      <c r="E178" s="828"/>
      <c r="F178" s="829"/>
      <c r="G178" s="609"/>
      <c r="K178" s="479"/>
    </row>
    <row r="179" spans="1:11" ht="4.5" customHeight="1" hidden="1">
      <c r="A179" s="383"/>
      <c r="B179" s="475"/>
      <c r="C179" s="475"/>
      <c r="D179" s="475"/>
      <c r="E179" s="475"/>
      <c r="F179" s="482"/>
      <c r="G179" s="482"/>
      <c r="K179" s="479"/>
    </row>
    <row r="180" spans="1:7" ht="15.75" hidden="1">
      <c r="A180" s="383"/>
      <c r="B180" s="602"/>
      <c r="C180" s="605"/>
      <c r="D180" s="606"/>
      <c r="E180" s="607"/>
      <c r="F180" s="608"/>
      <c r="G180" s="812"/>
    </row>
    <row r="181" spans="1:11" ht="27" customHeight="1" hidden="1">
      <c r="A181" s="383">
        <v>58</v>
      </c>
      <c r="B181" s="828" t="s">
        <v>250</v>
      </c>
      <c r="C181" s="828"/>
      <c r="D181" s="828"/>
      <c r="E181" s="828"/>
      <c r="F181" s="829"/>
      <c r="G181" s="609"/>
      <c r="K181" s="479"/>
    </row>
    <row r="182" spans="1:11" ht="4.5" customHeight="1" hidden="1">
      <c r="A182" s="383"/>
      <c r="B182" s="475"/>
      <c r="C182" s="475"/>
      <c r="D182" s="475"/>
      <c r="E182" s="475"/>
      <c r="F182" s="482"/>
      <c r="G182" s="482"/>
      <c r="K182" s="479"/>
    </row>
    <row r="183" spans="1:7" ht="15.75" hidden="1">
      <c r="A183" s="383"/>
      <c r="B183" s="602"/>
      <c r="C183" s="605"/>
      <c r="D183" s="606"/>
      <c r="E183" s="607"/>
      <c r="F183" s="608"/>
      <c r="G183" s="812"/>
    </row>
    <row r="184" spans="1:11" ht="27" customHeight="1" hidden="1">
      <c r="A184" s="383">
        <v>59</v>
      </c>
      <c r="B184" s="828" t="s">
        <v>250</v>
      </c>
      <c r="C184" s="828"/>
      <c r="D184" s="828"/>
      <c r="E184" s="828"/>
      <c r="F184" s="829"/>
      <c r="G184" s="609"/>
      <c r="K184" s="479"/>
    </row>
    <row r="185" spans="1:7" ht="3" customHeight="1" hidden="1">
      <c r="A185" s="383"/>
      <c r="B185" s="602"/>
      <c r="C185" s="605"/>
      <c r="D185" s="606"/>
      <c r="E185" s="607"/>
      <c r="F185" s="608"/>
      <c r="G185" s="479"/>
    </row>
    <row r="186" spans="1:7" ht="15.75" hidden="1">
      <c r="A186" s="383"/>
      <c r="B186" s="602"/>
      <c r="C186" s="605"/>
      <c r="D186" s="606"/>
      <c r="E186" s="607"/>
      <c r="F186" s="608"/>
      <c r="G186" s="812"/>
    </row>
    <row r="187" spans="1:11" ht="27" customHeight="1" hidden="1">
      <c r="A187" s="383">
        <v>60</v>
      </c>
      <c r="B187" s="828" t="s">
        <v>250</v>
      </c>
      <c r="C187" s="828"/>
      <c r="D187" s="828"/>
      <c r="E187" s="828"/>
      <c r="F187" s="829"/>
      <c r="G187" s="609"/>
      <c r="K187" s="479"/>
    </row>
    <row r="188" spans="1:7" ht="3" customHeight="1" hidden="1">
      <c r="A188" s="383"/>
      <c r="B188" s="602"/>
      <c r="C188" s="605"/>
      <c r="D188" s="606"/>
      <c r="E188" s="607"/>
      <c r="F188" s="608"/>
      <c r="G188" s="479"/>
    </row>
    <row r="189" spans="1:7" ht="15.75" hidden="1">
      <c r="A189" s="383"/>
      <c r="B189" s="602"/>
      <c r="C189" s="605"/>
      <c r="D189" s="606"/>
      <c r="E189" s="607"/>
      <c r="F189" s="608"/>
      <c r="G189" s="812"/>
    </row>
    <row r="190" spans="1:11" ht="27" customHeight="1" hidden="1">
      <c r="A190" s="383">
        <v>61</v>
      </c>
      <c r="B190" s="828" t="s">
        <v>250</v>
      </c>
      <c r="C190" s="828"/>
      <c r="D190" s="828"/>
      <c r="E190" s="828"/>
      <c r="F190" s="829"/>
      <c r="G190" s="609"/>
      <c r="K190" s="479"/>
    </row>
    <row r="191" spans="1:11" ht="4.5" customHeight="1" hidden="1">
      <c r="A191" s="383"/>
      <c r="B191" s="475"/>
      <c r="C191" s="475"/>
      <c r="D191" s="475"/>
      <c r="E191" s="475"/>
      <c r="F191" s="482"/>
      <c r="G191" s="482"/>
      <c r="K191" s="479"/>
    </row>
    <row r="192" spans="1:7" ht="15.75" hidden="1">
      <c r="A192" s="383"/>
      <c r="B192" s="602"/>
      <c r="C192" s="605"/>
      <c r="D192" s="606"/>
      <c r="E192" s="607"/>
      <c r="F192" s="608"/>
      <c r="G192" s="812"/>
    </row>
    <row r="193" spans="1:11" ht="27" customHeight="1" hidden="1">
      <c r="A193" s="383">
        <v>62</v>
      </c>
      <c r="B193" s="828" t="s">
        <v>250</v>
      </c>
      <c r="C193" s="828"/>
      <c r="D193" s="828"/>
      <c r="E193" s="828"/>
      <c r="F193" s="829"/>
      <c r="G193" s="609"/>
      <c r="K193" s="479"/>
    </row>
    <row r="194" spans="1:11" ht="4.5" customHeight="1" hidden="1">
      <c r="A194" s="383"/>
      <c r="B194" s="475"/>
      <c r="C194" s="475"/>
      <c r="D194" s="475"/>
      <c r="E194" s="475"/>
      <c r="F194" s="482"/>
      <c r="G194" s="482"/>
      <c r="K194" s="479"/>
    </row>
    <row r="195" spans="1:7" ht="15.75" hidden="1">
      <c r="A195" s="383"/>
      <c r="B195" s="602"/>
      <c r="C195" s="605"/>
      <c r="D195" s="606"/>
      <c r="E195" s="607"/>
      <c r="F195" s="608"/>
      <c r="G195" s="812"/>
    </row>
    <row r="196" spans="1:11" ht="27" customHeight="1" hidden="1">
      <c r="A196" s="383">
        <v>63</v>
      </c>
      <c r="B196" s="828" t="s">
        <v>250</v>
      </c>
      <c r="C196" s="828"/>
      <c r="D196" s="828"/>
      <c r="E196" s="828"/>
      <c r="F196" s="829"/>
      <c r="G196" s="609"/>
      <c r="K196" s="479"/>
    </row>
    <row r="197" spans="1:11" ht="4.5" customHeight="1" hidden="1">
      <c r="A197" s="383"/>
      <c r="B197" s="475"/>
      <c r="C197" s="475"/>
      <c r="D197" s="475"/>
      <c r="E197" s="475"/>
      <c r="F197" s="482"/>
      <c r="G197" s="482"/>
      <c r="K197" s="479"/>
    </row>
    <row r="198" spans="1:7" ht="15.75" hidden="1">
      <c r="A198" s="383"/>
      <c r="B198" s="602"/>
      <c r="C198" s="605"/>
      <c r="D198" s="606"/>
      <c r="E198" s="607"/>
      <c r="F198" s="608"/>
      <c r="G198" s="812"/>
    </row>
    <row r="199" spans="1:11" ht="27" customHeight="1" hidden="1">
      <c r="A199" s="383">
        <v>64</v>
      </c>
      <c r="B199" s="828" t="s">
        <v>250</v>
      </c>
      <c r="C199" s="828"/>
      <c r="D199" s="828"/>
      <c r="E199" s="828"/>
      <c r="F199" s="829"/>
      <c r="G199" s="609"/>
      <c r="K199" s="479"/>
    </row>
    <row r="200" spans="1:11" ht="3.75" customHeight="1" hidden="1">
      <c r="A200" s="383"/>
      <c r="B200" s="475"/>
      <c r="C200" s="475"/>
      <c r="D200" s="475"/>
      <c r="E200" s="475"/>
      <c r="F200" s="482"/>
      <c r="G200" s="482"/>
      <c r="K200" s="479"/>
    </row>
    <row r="201" spans="1:7" ht="15.75" hidden="1">
      <c r="A201" s="383"/>
      <c r="B201" s="602"/>
      <c r="C201" s="605"/>
      <c r="D201" s="606"/>
      <c r="E201" s="607"/>
      <c r="F201" s="608"/>
      <c r="G201" s="812"/>
    </row>
    <row r="202" spans="1:11" ht="27" customHeight="1" hidden="1">
      <c r="A202" s="383">
        <v>65</v>
      </c>
      <c r="B202" s="828" t="s">
        <v>250</v>
      </c>
      <c r="C202" s="828"/>
      <c r="D202" s="828"/>
      <c r="E202" s="828"/>
      <c r="F202" s="829"/>
      <c r="G202" s="609"/>
      <c r="K202" s="479"/>
    </row>
    <row r="203" spans="1:11" ht="4.5" customHeight="1" hidden="1">
      <c r="A203" s="383"/>
      <c r="B203" s="475"/>
      <c r="C203" s="475"/>
      <c r="D203" s="475"/>
      <c r="E203" s="475"/>
      <c r="F203" s="482"/>
      <c r="G203" s="482"/>
      <c r="K203" s="479"/>
    </row>
    <row r="204" spans="1:7" ht="15.75" hidden="1">
      <c r="A204" s="383"/>
      <c r="B204" s="602"/>
      <c r="C204" s="605"/>
      <c r="D204" s="606"/>
      <c r="E204" s="607"/>
      <c r="F204" s="608"/>
      <c r="G204" s="812"/>
    </row>
    <row r="205" spans="1:11" ht="27" customHeight="1" hidden="1">
      <c r="A205" s="383">
        <v>66</v>
      </c>
      <c r="B205" s="828" t="s">
        <v>250</v>
      </c>
      <c r="C205" s="828"/>
      <c r="D205" s="828"/>
      <c r="E205" s="828"/>
      <c r="F205" s="829"/>
      <c r="G205" s="609"/>
      <c r="K205" s="479"/>
    </row>
    <row r="206" spans="1:11" ht="4.5" customHeight="1" hidden="1">
      <c r="A206" s="383"/>
      <c r="B206" s="475"/>
      <c r="C206" s="475"/>
      <c r="D206" s="475"/>
      <c r="E206" s="475"/>
      <c r="F206" s="482"/>
      <c r="G206" s="482"/>
      <c r="K206" s="479"/>
    </row>
    <row r="207" spans="1:7" ht="15.75" hidden="1">
      <c r="A207" s="383"/>
      <c r="B207" s="602"/>
      <c r="C207" s="605"/>
      <c r="D207" s="606"/>
      <c r="E207" s="607"/>
      <c r="F207" s="608"/>
      <c r="G207" s="812"/>
    </row>
    <row r="208" spans="1:11" ht="27" customHeight="1" hidden="1">
      <c r="A208" s="383">
        <v>67</v>
      </c>
      <c r="B208" s="828" t="s">
        <v>250</v>
      </c>
      <c r="C208" s="828"/>
      <c r="D208" s="828"/>
      <c r="E208" s="828"/>
      <c r="F208" s="829"/>
      <c r="G208" s="609"/>
      <c r="K208" s="479"/>
    </row>
    <row r="209" spans="1:11" s="355" customFormat="1" ht="15" customHeight="1">
      <c r="A209" s="383"/>
      <c r="B209" s="475"/>
      <c r="C209" s="475"/>
      <c r="D209" s="475"/>
      <c r="E209" s="475"/>
      <c r="F209" s="482"/>
      <c r="G209" s="811"/>
      <c r="K209" s="813"/>
    </row>
    <row r="210" spans="1:7" ht="33" customHeight="1">
      <c r="A210" s="383"/>
      <c r="B210" s="852" t="s">
        <v>473</v>
      </c>
      <c r="C210" s="853"/>
      <c r="D210" s="853"/>
      <c r="E210" s="853"/>
      <c r="F210" s="853"/>
      <c r="G210" s="854"/>
    </row>
    <row r="211" spans="1:11" ht="41.25" customHeight="1">
      <c r="A211" s="383"/>
      <c r="B211" s="855"/>
      <c r="C211" s="856"/>
      <c r="D211" s="856"/>
      <c r="E211" s="856"/>
      <c r="F211" s="856"/>
      <c r="G211" s="857"/>
      <c r="K211" s="479">
        <f>IF(LEN(B211)&gt;1500,"IL NUMERO MASSIMO DI CARATTERI CONSENTITO E' 1500","")</f>
      </c>
    </row>
    <row r="212" spans="1:11" ht="12.75" customHeight="1">
      <c r="A212" s="383"/>
      <c r="B212" s="858"/>
      <c r="C212" s="859"/>
      <c r="D212" s="859"/>
      <c r="E212" s="859"/>
      <c r="F212" s="859"/>
      <c r="G212" s="860"/>
      <c r="K212" s="479"/>
    </row>
    <row r="213" spans="1:7" ht="12.75" customHeight="1">
      <c r="A213" s="383"/>
      <c r="B213" s="858"/>
      <c r="C213" s="859"/>
      <c r="D213" s="859"/>
      <c r="E213" s="859"/>
      <c r="F213" s="859"/>
      <c r="G213" s="860"/>
    </row>
    <row r="214" spans="1:7" ht="12.75" customHeight="1">
      <c r="A214" s="383"/>
      <c r="B214" s="858"/>
      <c r="C214" s="859"/>
      <c r="D214" s="859"/>
      <c r="E214" s="859"/>
      <c r="F214" s="859"/>
      <c r="G214" s="860"/>
    </row>
    <row r="215" spans="1:7" ht="12.75" customHeight="1">
      <c r="A215" s="383"/>
      <c r="B215" s="861"/>
      <c r="C215" s="862"/>
      <c r="D215" s="862"/>
      <c r="E215" s="862"/>
      <c r="F215" s="862"/>
      <c r="G215" s="863"/>
    </row>
    <row r="216" spans="2:7" ht="38.25" customHeight="1">
      <c r="B216" s="851" t="s">
        <v>277</v>
      </c>
      <c r="C216" s="851"/>
      <c r="D216" s="851"/>
      <c r="E216" s="851"/>
      <c r="F216" s="851"/>
      <c r="G216" s="851"/>
    </row>
    <row r="217" ht="51" customHeight="1">
      <c r="C217" s="528"/>
    </row>
    <row r="218" spans="1:7" s="519" customFormat="1" ht="38.25" customHeight="1">
      <c r="A218" s="530"/>
      <c r="B218" s="850" t="s">
        <v>342</v>
      </c>
      <c r="C218" s="850"/>
      <c r="D218" s="850"/>
      <c r="E218" s="850"/>
      <c r="F218" s="850"/>
      <c r="G218" s="850"/>
    </row>
    <row r="219" ht="51.75" customHeight="1">
      <c r="C219" s="528"/>
    </row>
    <row r="220" ht="18" customHeight="1">
      <c r="C220" s="528"/>
    </row>
    <row r="221" spans="1:11" ht="33.75" customHeight="1">
      <c r="A221" s="377"/>
      <c r="B221" s="848" t="s">
        <v>387</v>
      </c>
      <c r="C221" s="848"/>
      <c r="D221" s="848"/>
      <c r="E221" s="848"/>
      <c r="F221" s="848"/>
      <c r="G221" s="848"/>
      <c r="H221" s="483"/>
      <c r="I221" s="483"/>
      <c r="J221" s="483"/>
      <c r="K221" s="483"/>
    </row>
    <row r="222" spans="1:7" s="788" customFormat="1" ht="13.5">
      <c r="A222" s="785"/>
      <c r="B222" s="786" t="s">
        <v>12</v>
      </c>
      <c r="C222" s="786">
        <f>IF(('t1'!$K$14+'t1'!$L$14)&gt;0,1,0)</f>
        <v>0</v>
      </c>
      <c r="D222" s="787"/>
      <c r="E222" s="786" t="s">
        <v>340</v>
      </c>
      <c r="F222" s="786">
        <f>IF(AND('t1'!K14+'t1'!L14&gt;0=0),1,0)</f>
        <v>0</v>
      </c>
      <c r="G222" s="787"/>
    </row>
    <row r="223" spans="1:7" s="788" customFormat="1" ht="13.5">
      <c r="A223" s="785"/>
      <c r="B223" s="786" t="s">
        <v>15</v>
      </c>
      <c r="C223" s="786">
        <f>IF(SUM('t3'!C14:P14)&gt;0,1,0)</f>
        <v>0</v>
      </c>
      <c r="D223" s="787"/>
      <c r="E223" s="786" t="s">
        <v>13</v>
      </c>
      <c r="F223" s="786">
        <f>IF(COUNTIF('Squadratura 1'!J6:J13,"ERRORE")=0,0,1)</f>
        <v>0</v>
      </c>
      <c r="G223" s="787"/>
    </row>
    <row r="224" spans="1:7" s="788" customFormat="1" ht="13.5">
      <c r="A224" s="785"/>
      <c r="B224" s="786" t="s">
        <v>17</v>
      </c>
      <c r="C224" s="786">
        <f>IF(('t4'!$K$14)&gt;0,1,0)</f>
        <v>0</v>
      </c>
      <c r="D224" s="787"/>
      <c r="E224" s="786" t="s">
        <v>14</v>
      </c>
      <c r="F224" s="786">
        <f>IF(OR('Squadratura 2'!G15="ERRORE",'Squadratura 2'!L15="ERRORE"),1,0)</f>
        <v>0</v>
      </c>
      <c r="G224" s="787"/>
    </row>
    <row r="225" spans="1:7" s="788" customFormat="1" ht="13.5">
      <c r="A225" s="785"/>
      <c r="B225" s="786" t="s">
        <v>19</v>
      </c>
      <c r="C225" s="786">
        <f>IF(('t5'!$U$15+'t5'!$V$15)&gt;0,1,0)</f>
        <v>0</v>
      </c>
      <c r="D225" s="787"/>
      <c r="E225" s="786" t="s">
        <v>16</v>
      </c>
      <c r="F225" s="786">
        <f>IF(OR('Squadratura 3'!M16="ERRORE",'Squadratura 3'!N16="ERRORE",'Squadratura 3'!Y16="ERRORE",'Squadratura 3'!Z16="ERRORE"),1,0)</f>
        <v>0</v>
      </c>
      <c r="G225" s="787"/>
    </row>
    <row r="226" spans="1:11" s="788" customFormat="1" ht="13.5">
      <c r="A226" s="785"/>
      <c r="B226" s="786" t="s">
        <v>20</v>
      </c>
      <c r="C226" s="786">
        <f>IF(('t6'!$U$15+'t6'!$V$15)&gt;0,1,0)</f>
        <v>0</v>
      </c>
      <c r="D226" s="787"/>
      <c r="E226" s="786" t="s">
        <v>18</v>
      </c>
      <c r="F226" s="786">
        <f>IF(COUNTIF('Squadratura 4'!I6:I13,"ERRORE")=0,0,1)</f>
        <v>0</v>
      </c>
      <c r="G226" s="787"/>
      <c r="K226" s="789"/>
    </row>
    <row r="227" spans="1:11" s="788" customFormat="1" ht="13.5">
      <c r="A227" s="785"/>
      <c r="B227" s="786" t="s">
        <v>21</v>
      </c>
      <c r="C227" s="786">
        <f>IF(('t7'!$W$14+'t7'!$X$14)&gt;0,1,0)</f>
        <v>0</v>
      </c>
      <c r="D227" s="787"/>
      <c r="E227" s="786" t="s">
        <v>22</v>
      </c>
      <c r="F227" s="786">
        <f>IF(COUNTIF('Incongruenze 1 e 11'!D5:D7,"OK")=3,0,1)</f>
        <v>0</v>
      </c>
      <c r="G227" s="786"/>
      <c r="K227" s="789"/>
    </row>
    <row r="228" spans="1:11" s="788" customFormat="1" ht="13.5">
      <c r="A228" s="785"/>
      <c r="B228" s="786" t="s">
        <v>23</v>
      </c>
      <c r="C228" s="786">
        <f>IF(('t8'!$AA$14+'t8'!$AB$14)&gt;0,1,0)</f>
        <v>0</v>
      </c>
      <c r="D228" s="787"/>
      <c r="E228" s="786" t="s">
        <v>24</v>
      </c>
      <c r="F228" s="786">
        <f>IF(COUNTIF('Incongruenza 2'!I6:I13,"ERRORE")=0,0,1)</f>
        <v>0</v>
      </c>
      <c r="G228" s="787"/>
      <c r="K228" s="789"/>
    </row>
    <row r="229" spans="1:11" s="788" customFormat="1" ht="13.5">
      <c r="A229" s="785"/>
      <c r="B229" s="786" t="s">
        <v>25</v>
      </c>
      <c r="C229" s="786">
        <f>IF(('t9'!$O$14+'t9'!$P$14)&gt;0,1,0)</f>
        <v>0</v>
      </c>
      <c r="D229" s="787"/>
      <c r="E229" s="786" t="s">
        <v>26</v>
      </c>
      <c r="F229" s="786">
        <f>IF(OR(AND('Incongruenza 4 e controlli t14'!F21=" ",'Incongruenza 4 e controlli t14'!F23=" "),AND('Incongruenza 4 e controlli t14'!F21="OK",'Incongruenza 4 e controlli t14'!F23="OK"),AND('Incongruenza 4 e controlli t14'!F23="E' stata dichiarata IRAP Commerciale")),0,1)</f>
        <v>0</v>
      </c>
      <c r="G229" s="787"/>
      <c r="K229" s="789"/>
    </row>
    <row r="230" spans="1:11" s="788" customFormat="1" ht="13.5">
      <c r="A230" s="785"/>
      <c r="B230" s="786" t="s">
        <v>27</v>
      </c>
      <c r="C230" s="786">
        <f>IF(('t10'!$AU$14+'t10'!$AV$14)&gt;0,1,0)</f>
        <v>0</v>
      </c>
      <c r="D230" s="787"/>
      <c r="E230" s="786" t="s">
        <v>28</v>
      </c>
      <c r="F230" s="786">
        <f>IF(COUNTIF('Incongruenza 5'!G6:G13,"ERRORE")=0,0,1)</f>
        <v>0</v>
      </c>
      <c r="G230" s="787"/>
      <c r="K230" s="789"/>
    </row>
    <row r="231" spans="1:11" s="788" customFormat="1" ht="13.5">
      <c r="A231" s="785"/>
      <c r="B231" s="786" t="s">
        <v>29</v>
      </c>
      <c r="C231" s="786">
        <f>IF(('t11'!$W$16+'t11'!$X$16)&gt;0,1,0)</f>
        <v>0</v>
      </c>
      <c r="D231" s="787"/>
      <c r="E231" s="786" t="s">
        <v>30</v>
      </c>
      <c r="F231" s="786">
        <f>IF(COUNTIF('Incongruenza 6'!E6:E13,"ERRORE")=0,0,1)</f>
        <v>0</v>
      </c>
      <c r="G231" s="787"/>
      <c r="K231" s="789"/>
    </row>
    <row r="232" spans="1:11" s="788" customFormat="1" ht="13.5">
      <c r="A232" s="785"/>
      <c r="B232" s="786" t="s">
        <v>31</v>
      </c>
      <c r="C232" s="786">
        <f>IF(('t12'!$K$14+'t12'!$C$14)&gt;0,1,0)</f>
        <v>0</v>
      </c>
      <c r="D232" s="787"/>
      <c r="E232" s="786" t="s">
        <v>32</v>
      </c>
      <c r="F232" s="786">
        <f>IF(COUNTIF('Incongruenza 7'!I6:I13,"ERRORE")=0,0,1)</f>
        <v>0</v>
      </c>
      <c r="G232" s="787"/>
      <c r="K232" s="789"/>
    </row>
    <row r="233" spans="1:11" s="788" customFormat="1" ht="13.5">
      <c r="A233" s="785"/>
      <c r="B233" s="786" t="s">
        <v>33</v>
      </c>
      <c r="C233" s="786">
        <f>IF(('t13'!$L$14)&gt;0,1,0)</f>
        <v>0</v>
      </c>
      <c r="D233" s="787"/>
      <c r="E233" s="786" t="s">
        <v>502</v>
      </c>
      <c r="F233" s="786">
        <f>IF(COUNTIF('Incongruenze 1 e 11'!D13:D20,"OK")=6,0,1)</f>
        <v>0</v>
      </c>
      <c r="G233" s="787"/>
      <c r="K233" s="789"/>
    </row>
    <row r="234" spans="1:7" s="788" customFormat="1" ht="13.5">
      <c r="A234" s="785"/>
      <c r="B234" s="786" t="s">
        <v>34</v>
      </c>
      <c r="C234" s="786">
        <f>IF(('Incongruenza 4 e controlli t14'!$C$31)&gt;0,1,0)</f>
        <v>0</v>
      </c>
      <c r="D234" s="787"/>
      <c r="E234" s="786" t="s">
        <v>503</v>
      </c>
      <c r="F234" s="786">
        <f>IF(COUNTIF('Incongruenze 3, 12 e 13'!D13:D14,"OK")=2,0,1)</f>
        <v>0</v>
      </c>
      <c r="G234" s="787"/>
    </row>
    <row r="235" spans="1:9" s="788" customFormat="1" ht="13.5">
      <c r="A235" s="785"/>
      <c r="B235" s="785" t="s">
        <v>449</v>
      </c>
      <c r="C235" s="785">
        <f>IF(('Tabella Riconciliazione'!$E$31)&gt;0,1,0)</f>
        <v>0</v>
      </c>
      <c r="D235" s="787"/>
      <c r="E235" s="786" t="s">
        <v>504</v>
      </c>
      <c r="F235" s="786">
        <f>IF(COUNTIF('Incongruenze 3, 12 e 13'!D20,"OK")=1,0,1)</f>
        <v>0</v>
      </c>
      <c r="H235" s="786">
        <f>IF(COUNTIF('Incongruenza 8'!J6:J13,"ERRORE")=0,0,1)</f>
        <v>0</v>
      </c>
      <c r="I235" s="787"/>
    </row>
    <row r="236" spans="1:7" s="788" customFormat="1" ht="13.5">
      <c r="A236" s="785"/>
      <c r="B236" s="787"/>
      <c r="C236" s="787"/>
      <c r="D236" s="787"/>
      <c r="E236" s="786" t="s">
        <v>505</v>
      </c>
      <c r="F236" s="786">
        <f>IF(COUNTIF('Incongruenza 14'!G6:G13,"ERRORE")=0,0,1)</f>
        <v>0</v>
      </c>
      <c r="G236" s="787"/>
    </row>
    <row r="237" spans="1:7" s="788" customFormat="1" ht="13.5">
      <c r="A237" s="785"/>
      <c r="B237" s="787"/>
      <c r="C237" s="787"/>
      <c r="D237" s="787"/>
      <c r="E237" s="787" t="s">
        <v>523</v>
      </c>
      <c r="F237" s="787">
        <f>IF(('t12'!$AK$5)&gt;0,1,0)</f>
        <v>0</v>
      </c>
      <c r="G237" s="787"/>
    </row>
    <row r="238" spans="1:7" s="788" customFormat="1" ht="13.5">
      <c r="A238" s="785"/>
      <c r="B238" s="787"/>
      <c r="C238" s="787"/>
      <c r="D238" s="787"/>
      <c r="E238" s="786" t="s">
        <v>361</v>
      </c>
      <c r="F238" s="787"/>
      <c r="G238" s="787"/>
    </row>
    <row r="239" spans="1:7" s="788" customFormat="1" ht="13.5">
      <c r="A239" s="785"/>
      <c r="B239" s="787"/>
      <c r="C239" s="787"/>
      <c r="D239" s="787"/>
      <c r="E239" s="787"/>
      <c r="F239" s="787"/>
      <c r="G239" s="787"/>
    </row>
    <row r="240" spans="1:7" s="788" customFormat="1" ht="13.5">
      <c r="A240" s="785"/>
      <c r="B240" s="787"/>
      <c r="C240" s="787"/>
      <c r="D240" s="787"/>
      <c r="E240" s="787"/>
      <c r="F240" s="787"/>
      <c r="G240" s="787"/>
    </row>
    <row r="241" spans="1:7" s="788" customFormat="1" ht="13.5">
      <c r="A241" s="785"/>
      <c r="B241" s="787"/>
      <c r="C241" s="787"/>
      <c r="D241" s="787"/>
      <c r="E241" s="787"/>
      <c r="F241" s="787"/>
      <c r="G241" s="787"/>
    </row>
    <row r="242" spans="1:7" s="788" customFormat="1" ht="13.5">
      <c r="A242" s="785"/>
      <c r="B242" s="787"/>
      <c r="C242" s="787"/>
      <c r="D242" s="787"/>
      <c r="E242" s="787"/>
      <c r="F242" s="787"/>
      <c r="G242" s="787"/>
    </row>
    <row r="243" spans="1:7" s="788" customFormat="1" ht="13.5">
      <c r="A243" s="785"/>
      <c r="B243" s="787"/>
      <c r="C243" s="787"/>
      <c r="D243" s="787"/>
      <c r="E243" s="787"/>
      <c r="F243" s="787"/>
      <c r="G243" s="787"/>
    </row>
    <row r="244" spans="1:7" s="788" customFormat="1" ht="13.5">
      <c r="A244" s="785"/>
      <c r="B244" s="787"/>
      <c r="C244" s="787"/>
      <c r="D244" s="787"/>
      <c r="E244" s="787"/>
      <c r="F244" s="787"/>
      <c r="G244" s="787"/>
    </row>
    <row r="245" spans="1:7" s="788" customFormat="1" ht="13.5">
      <c r="A245" s="785"/>
      <c r="B245" s="787"/>
      <c r="C245" s="787"/>
      <c r="D245" s="787"/>
      <c r="E245" s="787"/>
      <c r="F245" s="787"/>
      <c r="G245" s="787"/>
    </row>
    <row r="246" spans="1:7" s="788" customFormat="1" ht="13.5">
      <c r="A246" s="785"/>
      <c r="B246" s="787"/>
      <c r="C246" s="787"/>
      <c r="D246" s="787"/>
      <c r="E246" s="787"/>
      <c r="F246" s="787"/>
      <c r="G246" s="787"/>
    </row>
    <row r="247" spans="1:7" s="788" customFormat="1" ht="13.5">
      <c r="A247" s="785"/>
      <c r="B247" s="787"/>
      <c r="C247" s="787"/>
      <c r="D247" s="787"/>
      <c r="E247" s="787"/>
      <c r="F247" s="787"/>
      <c r="G247" s="787"/>
    </row>
    <row r="248" spans="1:7" s="788" customFormat="1" ht="13.5">
      <c r="A248" s="785"/>
      <c r="B248" s="787"/>
      <c r="C248" s="787"/>
      <c r="D248" s="787"/>
      <c r="E248" s="787"/>
      <c r="F248" s="787"/>
      <c r="G248" s="787"/>
    </row>
    <row r="249" spans="1:7" s="788" customFormat="1" ht="13.5">
      <c r="A249" s="785"/>
      <c r="B249" s="787"/>
      <c r="C249" s="787"/>
      <c r="D249" s="787"/>
      <c r="E249" s="787"/>
      <c r="F249" s="787"/>
      <c r="G249" s="787"/>
    </row>
    <row r="250" spans="1:7" s="788" customFormat="1" ht="13.5">
      <c r="A250" s="785"/>
      <c r="B250" s="787"/>
      <c r="C250" s="787"/>
      <c r="D250" s="787"/>
      <c r="E250" s="787"/>
      <c r="F250" s="787"/>
      <c r="G250" s="787"/>
    </row>
    <row r="251" spans="1:7" s="788" customFormat="1" ht="13.5">
      <c r="A251" s="785"/>
      <c r="B251" s="787"/>
      <c r="C251" s="787"/>
      <c r="D251" s="787"/>
      <c r="E251" s="787"/>
      <c r="F251" s="787"/>
      <c r="G251" s="787"/>
    </row>
    <row r="252" spans="1:7" s="788" customFormat="1" ht="13.5">
      <c r="A252" s="785"/>
      <c r="B252" s="787"/>
      <c r="C252" s="787"/>
      <c r="D252" s="787"/>
      <c r="E252" s="787"/>
      <c r="F252" s="787"/>
      <c r="G252" s="787"/>
    </row>
    <row r="253" spans="1:7" s="788" customFormat="1" ht="13.5">
      <c r="A253" s="785"/>
      <c r="B253" s="787"/>
      <c r="C253" s="787"/>
      <c r="D253" s="787"/>
      <c r="E253" s="379"/>
      <c r="F253" s="379"/>
      <c r="G253" s="787"/>
    </row>
    <row r="254" spans="1:7" s="485" customFormat="1" ht="13.5">
      <c r="A254" s="484"/>
      <c r="B254" s="379"/>
      <c r="C254" s="379"/>
      <c r="D254" s="379"/>
      <c r="E254" s="379"/>
      <c r="F254" s="379"/>
      <c r="G254" s="379"/>
    </row>
    <row r="255" spans="1:7" s="485" customFormat="1" ht="13.5">
      <c r="A255" s="484"/>
      <c r="B255" s="379"/>
      <c r="C255" s="379"/>
      <c r="D255" s="379"/>
      <c r="E255" s="379"/>
      <c r="F255" s="379"/>
      <c r="G255" s="379"/>
    </row>
    <row r="256" spans="1:7" s="485" customFormat="1" ht="13.5">
      <c r="A256" s="484"/>
      <c r="B256" s="379"/>
      <c r="C256" s="379"/>
      <c r="D256" s="379"/>
      <c r="E256" s="379"/>
      <c r="F256" s="379"/>
      <c r="G256" s="379"/>
    </row>
    <row r="257" spans="1:7" s="485" customFormat="1" ht="13.5">
      <c r="A257" s="484"/>
      <c r="B257" s="379"/>
      <c r="C257" s="379"/>
      <c r="D257" s="379"/>
      <c r="E257" s="379"/>
      <c r="F257" s="379"/>
      <c r="G257" s="379"/>
    </row>
    <row r="258" spans="1:7" s="485" customFormat="1" ht="13.5">
      <c r="A258" s="484"/>
      <c r="B258" s="379"/>
      <c r="C258" s="379"/>
      <c r="D258" s="379"/>
      <c r="E258" s="379"/>
      <c r="F258" s="379"/>
      <c r="G258" s="379"/>
    </row>
    <row r="259" spans="1:7" s="485" customFormat="1" ht="13.5">
      <c r="A259" s="484"/>
      <c r="B259" s="379"/>
      <c r="C259" s="379"/>
      <c r="D259" s="379"/>
      <c r="E259" s="379"/>
      <c r="F259" s="379"/>
      <c r="G259" s="379"/>
    </row>
    <row r="260" spans="1:7" s="485" customFormat="1" ht="13.5">
      <c r="A260" s="484"/>
      <c r="B260" s="379"/>
      <c r="C260" s="379"/>
      <c r="D260" s="379"/>
      <c r="E260" s="379"/>
      <c r="F260" s="379"/>
      <c r="G260" s="379"/>
    </row>
    <row r="261" spans="1:7" s="485" customFormat="1" ht="13.5">
      <c r="A261" s="484"/>
      <c r="B261" s="379"/>
      <c r="C261" s="379"/>
      <c r="D261" s="379"/>
      <c r="E261" s="379"/>
      <c r="F261" s="379"/>
      <c r="G261" s="379"/>
    </row>
    <row r="262" spans="1:7" s="485" customFormat="1" ht="13.5">
      <c r="A262" s="484"/>
      <c r="B262" s="379"/>
      <c r="C262" s="379"/>
      <c r="D262" s="379"/>
      <c r="E262" s="379"/>
      <c r="F262" s="379"/>
      <c r="G262" s="379"/>
    </row>
    <row r="263" spans="1:7" s="485" customFormat="1" ht="13.5">
      <c r="A263" s="484"/>
      <c r="B263" s="379"/>
      <c r="C263" s="379"/>
      <c r="D263" s="379"/>
      <c r="E263" s="379"/>
      <c r="F263" s="379"/>
      <c r="G263" s="379"/>
    </row>
    <row r="264" spans="1:7" s="485" customFormat="1" ht="13.5">
      <c r="A264" s="484"/>
      <c r="B264" s="379"/>
      <c r="C264" s="379"/>
      <c r="D264" s="379"/>
      <c r="E264" s="379"/>
      <c r="F264" s="379"/>
      <c r="G264" s="379"/>
    </row>
    <row r="265" spans="1:7" s="485" customFormat="1" ht="13.5">
      <c r="A265" s="484"/>
      <c r="B265" s="379"/>
      <c r="C265" s="379"/>
      <c r="D265" s="379"/>
      <c r="E265" s="379"/>
      <c r="F265" s="379"/>
      <c r="G265" s="379"/>
    </row>
    <row r="266" spans="1:7" s="485" customFormat="1" ht="13.5">
      <c r="A266" s="484"/>
      <c r="B266" s="379"/>
      <c r="C266" s="379"/>
      <c r="D266" s="379"/>
      <c r="E266" s="379"/>
      <c r="F266" s="379"/>
      <c r="G266" s="379"/>
    </row>
    <row r="267" spans="1:7" s="485" customFormat="1" ht="13.5">
      <c r="A267" s="484"/>
      <c r="B267" s="379"/>
      <c r="C267" s="379"/>
      <c r="D267" s="379"/>
      <c r="E267" s="379"/>
      <c r="F267" s="379"/>
      <c r="G267" s="379"/>
    </row>
    <row r="268" spans="1:7" s="485" customFormat="1" ht="13.5">
      <c r="A268" s="484"/>
      <c r="B268" s="379"/>
      <c r="C268" s="379"/>
      <c r="D268" s="379"/>
      <c r="E268" s="379"/>
      <c r="F268" s="379"/>
      <c r="G268" s="379"/>
    </row>
    <row r="269" spans="1:7" s="485" customFormat="1" ht="13.5">
      <c r="A269" s="484"/>
      <c r="B269" s="379"/>
      <c r="C269" s="379"/>
      <c r="D269" s="379"/>
      <c r="E269" s="379"/>
      <c r="F269" s="379"/>
      <c r="G269" s="379"/>
    </row>
    <row r="270" spans="1:7" s="485" customFormat="1" ht="13.5">
      <c r="A270" s="484"/>
      <c r="B270" s="379"/>
      <c r="C270" s="379"/>
      <c r="D270" s="379"/>
      <c r="E270" s="379"/>
      <c r="F270" s="379"/>
      <c r="G270" s="379"/>
    </row>
    <row r="271" spans="1:7" s="485" customFormat="1" ht="13.5">
      <c r="A271" s="484"/>
      <c r="B271" s="379"/>
      <c r="C271" s="379"/>
      <c r="D271" s="379"/>
      <c r="E271" s="379"/>
      <c r="F271" s="379"/>
      <c r="G271" s="379"/>
    </row>
    <row r="272" spans="1:7" s="485" customFormat="1" ht="13.5">
      <c r="A272" s="484"/>
      <c r="B272" s="379"/>
      <c r="C272" s="379"/>
      <c r="D272" s="379"/>
      <c r="E272" s="379"/>
      <c r="F272" s="379"/>
      <c r="G272" s="379"/>
    </row>
    <row r="273" spans="1:7" s="485" customFormat="1" ht="13.5">
      <c r="A273" s="484"/>
      <c r="B273" s="379"/>
      <c r="C273" s="379"/>
      <c r="D273" s="379"/>
      <c r="E273" s="379"/>
      <c r="F273" s="379"/>
      <c r="G273" s="379"/>
    </row>
    <row r="274" spans="1:7" s="485" customFormat="1" ht="13.5">
      <c r="A274" s="484"/>
      <c r="B274" s="379"/>
      <c r="C274" s="379"/>
      <c r="D274" s="379"/>
      <c r="E274" s="379"/>
      <c r="F274" s="379"/>
      <c r="G274" s="379"/>
    </row>
    <row r="275" spans="1:7" s="485" customFormat="1" ht="13.5">
      <c r="A275" s="484"/>
      <c r="B275" s="379"/>
      <c r="C275" s="379"/>
      <c r="D275" s="379"/>
      <c r="E275" s="379"/>
      <c r="F275" s="379"/>
      <c r="G275" s="379"/>
    </row>
    <row r="276" spans="1:7" s="485" customFormat="1" ht="13.5">
      <c r="A276" s="484"/>
      <c r="B276" s="379"/>
      <c r="C276" s="379"/>
      <c r="D276" s="379"/>
      <c r="E276" s="379"/>
      <c r="F276" s="379"/>
      <c r="G276" s="379"/>
    </row>
    <row r="277" spans="1:7" s="485" customFormat="1" ht="13.5">
      <c r="A277" s="484"/>
      <c r="B277" s="379"/>
      <c r="C277" s="379"/>
      <c r="D277" s="379"/>
      <c r="E277" s="379"/>
      <c r="F277" s="379"/>
      <c r="G277" s="379"/>
    </row>
    <row r="278" spans="1:7" s="485" customFormat="1" ht="13.5">
      <c r="A278" s="484"/>
      <c r="B278" s="379"/>
      <c r="C278" s="379"/>
      <c r="D278" s="379"/>
      <c r="E278" s="379"/>
      <c r="F278" s="379"/>
      <c r="G278" s="379"/>
    </row>
    <row r="279" spans="1:7" s="485" customFormat="1" ht="13.5">
      <c r="A279" s="484"/>
      <c r="B279" s="379"/>
      <c r="C279" s="379"/>
      <c r="D279" s="379"/>
      <c r="E279" s="379"/>
      <c r="F279" s="379"/>
      <c r="G279" s="379"/>
    </row>
    <row r="280" spans="1:7" s="485" customFormat="1" ht="13.5">
      <c r="A280" s="484"/>
      <c r="B280" s="379"/>
      <c r="C280" s="379"/>
      <c r="D280" s="379"/>
      <c r="E280" s="379"/>
      <c r="F280" s="379"/>
      <c r="G280" s="379"/>
    </row>
    <row r="281" spans="1:7" s="485" customFormat="1" ht="13.5">
      <c r="A281" s="484"/>
      <c r="B281" s="379"/>
      <c r="C281" s="379"/>
      <c r="D281" s="379"/>
      <c r="E281" s="379"/>
      <c r="F281" s="379"/>
      <c r="G281" s="379"/>
    </row>
    <row r="282" spans="1:7" s="485" customFormat="1" ht="13.5">
      <c r="A282" s="484"/>
      <c r="B282" s="379"/>
      <c r="C282" s="379"/>
      <c r="D282" s="379"/>
      <c r="E282" s="379"/>
      <c r="F282" s="379"/>
      <c r="G282" s="379"/>
    </row>
    <row r="283" spans="1:7" s="485" customFormat="1" ht="13.5">
      <c r="A283" s="484"/>
      <c r="B283" s="379"/>
      <c r="C283" s="379"/>
      <c r="D283" s="379"/>
      <c r="E283" s="379"/>
      <c r="F283" s="379"/>
      <c r="G283" s="379"/>
    </row>
    <row r="284" spans="1:7" s="485" customFormat="1" ht="13.5">
      <c r="A284" s="484"/>
      <c r="B284" s="379"/>
      <c r="C284" s="379"/>
      <c r="D284" s="379"/>
      <c r="E284" s="379"/>
      <c r="F284" s="379"/>
      <c r="G284" s="379"/>
    </row>
    <row r="285" spans="1:7" s="485" customFormat="1" ht="13.5">
      <c r="A285" s="484"/>
      <c r="B285" s="379"/>
      <c r="C285" s="379"/>
      <c r="D285" s="379"/>
      <c r="E285" s="379"/>
      <c r="F285" s="379"/>
      <c r="G285" s="379"/>
    </row>
    <row r="286" spans="1:7" s="485" customFormat="1" ht="13.5">
      <c r="A286" s="484"/>
      <c r="B286" s="379"/>
      <c r="C286" s="379"/>
      <c r="D286" s="379"/>
      <c r="E286" s="379"/>
      <c r="F286" s="379"/>
      <c r="G286" s="379"/>
    </row>
    <row r="287" spans="1:7" s="485" customFormat="1" ht="13.5">
      <c r="A287" s="484"/>
      <c r="B287" s="379"/>
      <c r="C287" s="379"/>
      <c r="D287" s="379"/>
      <c r="E287" s="379"/>
      <c r="F287" s="379"/>
      <c r="G287" s="379"/>
    </row>
    <row r="288" spans="1:7" s="485" customFormat="1" ht="13.5">
      <c r="A288" s="484"/>
      <c r="B288" s="379"/>
      <c r="C288" s="379"/>
      <c r="D288" s="379"/>
      <c r="E288" s="379"/>
      <c r="F288" s="379"/>
      <c r="G288" s="379"/>
    </row>
    <row r="289" spans="1:7" s="485" customFormat="1" ht="13.5">
      <c r="A289" s="484"/>
      <c r="B289" s="379"/>
      <c r="C289" s="379"/>
      <c r="D289" s="379"/>
      <c r="E289" s="379"/>
      <c r="F289" s="379"/>
      <c r="G289" s="379"/>
    </row>
    <row r="290" spans="1:7" s="485" customFormat="1" ht="13.5">
      <c r="A290" s="484"/>
      <c r="B290" s="379"/>
      <c r="C290" s="379"/>
      <c r="D290" s="379"/>
      <c r="E290" s="379"/>
      <c r="F290" s="379"/>
      <c r="G290" s="379"/>
    </row>
    <row r="291" spans="1:7" s="485" customFormat="1" ht="13.5">
      <c r="A291" s="484"/>
      <c r="B291" s="379"/>
      <c r="C291" s="379"/>
      <c r="D291" s="379"/>
      <c r="E291" s="379"/>
      <c r="F291" s="379"/>
      <c r="G291" s="379"/>
    </row>
    <row r="292" spans="1:7" s="485" customFormat="1" ht="13.5">
      <c r="A292" s="484"/>
      <c r="B292" s="379"/>
      <c r="C292" s="379"/>
      <c r="D292" s="379"/>
      <c r="E292" s="379"/>
      <c r="F292" s="379"/>
      <c r="G292" s="379"/>
    </row>
    <row r="293" spans="1:7" s="485" customFormat="1" ht="13.5">
      <c r="A293" s="484"/>
      <c r="B293" s="379"/>
      <c r="C293" s="379"/>
      <c r="D293" s="379"/>
      <c r="E293" s="379"/>
      <c r="F293" s="379"/>
      <c r="G293" s="379"/>
    </row>
    <row r="294" spans="1:7" s="485" customFormat="1" ht="13.5">
      <c r="A294" s="484"/>
      <c r="B294" s="379"/>
      <c r="C294" s="379"/>
      <c r="D294" s="379"/>
      <c r="E294" s="379"/>
      <c r="F294" s="379"/>
      <c r="G294" s="379"/>
    </row>
    <row r="295" spans="1:7" s="485" customFormat="1" ht="13.5">
      <c r="A295" s="484"/>
      <c r="B295" s="379"/>
      <c r="C295" s="379"/>
      <c r="D295" s="379"/>
      <c r="E295" s="379"/>
      <c r="F295" s="379"/>
      <c r="G295" s="379"/>
    </row>
    <row r="296" spans="1:7" s="485" customFormat="1" ht="13.5">
      <c r="A296" s="484"/>
      <c r="B296" s="379"/>
      <c r="C296" s="379"/>
      <c r="D296" s="379"/>
      <c r="E296" s="379"/>
      <c r="F296" s="379"/>
      <c r="G296" s="379"/>
    </row>
    <row r="297" spans="1:7" s="485" customFormat="1" ht="13.5">
      <c r="A297" s="484"/>
      <c r="B297" s="379"/>
      <c r="C297" s="379"/>
      <c r="D297" s="379"/>
      <c r="E297" s="379"/>
      <c r="F297" s="379"/>
      <c r="G297" s="379"/>
    </row>
    <row r="298" spans="1:7" s="485" customFormat="1" ht="13.5">
      <c r="A298" s="484"/>
      <c r="B298" s="379"/>
      <c r="C298" s="379"/>
      <c r="D298" s="379"/>
      <c r="E298" s="379"/>
      <c r="F298" s="379"/>
      <c r="G298" s="379"/>
    </row>
    <row r="299" spans="1:7" s="485" customFormat="1" ht="13.5">
      <c r="A299" s="484"/>
      <c r="B299" s="379"/>
      <c r="C299" s="379"/>
      <c r="D299" s="379"/>
      <c r="E299" s="379"/>
      <c r="F299" s="379"/>
      <c r="G299" s="379"/>
    </row>
    <row r="300" spans="1:7" s="485" customFormat="1" ht="13.5">
      <c r="A300" s="484"/>
      <c r="B300" s="379"/>
      <c r="C300" s="379"/>
      <c r="D300" s="379"/>
      <c r="E300" s="379"/>
      <c r="F300" s="379"/>
      <c r="G300" s="379"/>
    </row>
    <row r="301" spans="1:7" s="485" customFormat="1" ht="13.5">
      <c r="A301" s="484"/>
      <c r="B301" s="379"/>
      <c r="C301" s="379"/>
      <c r="D301" s="379"/>
      <c r="E301" s="379"/>
      <c r="F301" s="379"/>
      <c r="G301" s="379"/>
    </row>
    <row r="302" spans="1:7" s="485" customFormat="1" ht="13.5">
      <c r="A302" s="484"/>
      <c r="B302" s="379"/>
      <c r="C302" s="379"/>
      <c r="D302" s="379"/>
      <c r="E302" s="379"/>
      <c r="F302" s="379"/>
      <c r="G302" s="379"/>
    </row>
    <row r="303" spans="1:7" s="485" customFormat="1" ht="13.5">
      <c r="A303" s="484"/>
      <c r="B303" s="379"/>
      <c r="C303" s="379"/>
      <c r="D303" s="379"/>
      <c r="E303" s="379"/>
      <c r="F303" s="379"/>
      <c r="G303" s="379"/>
    </row>
    <row r="304" spans="1:7" s="485" customFormat="1" ht="13.5">
      <c r="A304" s="484"/>
      <c r="B304" s="379"/>
      <c r="C304" s="379"/>
      <c r="D304" s="379"/>
      <c r="E304" s="379"/>
      <c r="F304" s="379"/>
      <c r="G304" s="379"/>
    </row>
    <row r="305" spans="1:7" s="485" customFormat="1" ht="13.5">
      <c r="A305" s="484"/>
      <c r="B305" s="379"/>
      <c r="C305" s="379"/>
      <c r="D305" s="379"/>
      <c r="E305" s="379"/>
      <c r="F305" s="379"/>
      <c r="G305" s="379"/>
    </row>
    <row r="306" spans="1:7" s="485" customFormat="1" ht="13.5">
      <c r="A306" s="484"/>
      <c r="B306" s="379"/>
      <c r="C306" s="379"/>
      <c r="D306" s="379"/>
      <c r="E306" s="379"/>
      <c r="F306" s="379"/>
      <c r="G306" s="379"/>
    </row>
    <row r="307" spans="1:7" s="485" customFormat="1" ht="13.5">
      <c r="A307" s="484"/>
      <c r="B307" s="379"/>
      <c r="C307" s="379"/>
      <c r="D307" s="379"/>
      <c r="E307" s="379"/>
      <c r="F307" s="379"/>
      <c r="G307" s="379"/>
    </row>
    <row r="308" spans="1:7" s="485" customFormat="1" ht="13.5">
      <c r="A308" s="484"/>
      <c r="B308" s="379"/>
      <c r="C308" s="379"/>
      <c r="D308" s="379"/>
      <c r="E308" s="379"/>
      <c r="F308" s="379"/>
      <c r="G308" s="379"/>
    </row>
    <row r="309" spans="1:7" s="485" customFormat="1" ht="13.5">
      <c r="A309" s="484"/>
      <c r="B309" s="379"/>
      <c r="C309" s="379"/>
      <c r="D309" s="379"/>
      <c r="E309" s="379"/>
      <c r="F309" s="379"/>
      <c r="G309" s="379"/>
    </row>
    <row r="310" spans="1:7" s="485" customFormat="1" ht="13.5">
      <c r="A310" s="484"/>
      <c r="B310" s="379"/>
      <c r="C310" s="379"/>
      <c r="D310" s="379"/>
      <c r="E310" s="379"/>
      <c r="F310" s="379"/>
      <c r="G310" s="379"/>
    </row>
    <row r="311" spans="1:7" s="485" customFormat="1" ht="13.5">
      <c r="A311" s="484"/>
      <c r="B311" s="379"/>
      <c r="C311" s="379"/>
      <c r="D311" s="379"/>
      <c r="E311" s="379"/>
      <c r="F311" s="379"/>
      <c r="G311" s="379"/>
    </row>
    <row r="312" spans="1:7" s="485" customFormat="1" ht="13.5">
      <c r="A312" s="484"/>
      <c r="B312" s="379"/>
      <c r="C312" s="379"/>
      <c r="D312" s="379"/>
      <c r="E312" s="379"/>
      <c r="F312" s="379"/>
      <c r="G312" s="379"/>
    </row>
    <row r="313" spans="1:7" s="485" customFormat="1" ht="13.5">
      <c r="A313" s="484"/>
      <c r="B313" s="379"/>
      <c r="C313" s="379"/>
      <c r="D313" s="379"/>
      <c r="E313" s="379"/>
      <c r="F313" s="379"/>
      <c r="G313" s="379"/>
    </row>
    <row r="314" spans="1:7" s="485" customFormat="1" ht="13.5">
      <c r="A314" s="484"/>
      <c r="B314" s="379"/>
      <c r="C314" s="379"/>
      <c r="D314" s="379"/>
      <c r="E314" s="379"/>
      <c r="F314" s="379"/>
      <c r="G314" s="379"/>
    </row>
    <row r="315" spans="1:7" s="485" customFormat="1" ht="13.5">
      <c r="A315" s="484"/>
      <c r="B315" s="379"/>
      <c r="C315" s="379"/>
      <c r="D315" s="379"/>
      <c r="E315" s="379"/>
      <c r="F315" s="379"/>
      <c r="G315" s="379"/>
    </row>
    <row r="316" spans="1:7" s="485" customFormat="1" ht="13.5">
      <c r="A316" s="484"/>
      <c r="B316" s="379"/>
      <c r="C316" s="379"/>
      <c r="D316" s="379"/>
      <c r="E316" s="379"/>
      <c r="F316" s="379"/>
      <c r="G316" s="379"/>
    </row>
    <row r="317" spans="1:7" s="485" customFormat="1" ht="13.5">
      <c r="A317" s="484"/>
      <c r="B317" s="379"/>
      <c r="C317" s="379"/>
      <c r="D317" s="379"/>
      <c r="E317" s="379"/>
      <c r="F317" s="379"/>
      <c r="G317" s="379"/>
    </row>
    <row r="318" spans="1:7" s="485" customFormat="1" ht="13.5">
      <c r="A318" s="484"/>
      <c r="B318" s="379"/>
      <c r="C318" s="379"/>
      <c r="D318" s="379"/>
      <c r="E318" s="379"/>
      <c r="F318" s="379"/>
      <c r="G318" s="379"/>
    </row>
    <row r="319" spans="1:7" s="485" customFormat="1" ht="13.5">
      <c r="A319" s="484"/>
      <c r="B319" s="379"/>
      <c r="C319" s="379"/>
      <c r="D319" s="379"/>
      <c r="E319" s="379"/>
      <c r="F319" s="379"/>
      <c r="G319" s="379"/>
    </row>
    <row r="320" spans="1:7" s="485" customFormat="1" ht="13.5">
      <c r="A320" s="484"/>
      <c r="B320" s="379"/>
      <c r="C320" s="379"/>
      <c r="D320" s="379"/>
      <c r="E320" s="379"/>
      <c r="F320" s="379"/>
      <c r="G320" s="379"/>
    </row>
    <row r="321" spans="1:7" s="485" customFormat="1" ht="13.5">
      <c r="A321" s="484"/>
      <c r="B321" s="379"/>
      <c r="C321" s="379"/>
      <c r="D321" s="379"/>
      <c r="E321" s="379"/>
      <c r="F321" s="379"/>
      <c r="G321" s="379"/>
    </row>
    <row r="322" spans="1:7" s="485" customFormat="1" ht="13.5">
      <c r="A322" s="484"/>
      <c r="B322" s="379"/>
      <c r="C322" s="379"/>
      <c r="D322" s="379"/>
      <c r="E322" s="379"/>
      <c r="F322" s="379"/>
      <c r="G322" s="379"/>
    </row>
    <row r="323" spans="1:7" s="485" customFormat="1" ht="13.5">
      <c r="A323" s="484"/>
      <c r="B323" s="379"/>
      <c r="C323" s="379"/>
      <c r="D323" s="379"/>
      <c r="E323" s="379"/>
      <c r="F323" s="379"/>
      <c r="G323" s="379"/>
    </row>
    <row r="324" spans="1:7" s="485" customFormat="1" ht="13.5">
      <c r="A324" s="484"/>
      <c r="B324" s="379"/>
      <c r="C324" s="379"/>
      <c r="D324" s="379"/>
      <c r="E324" s="379"/>
      <c r="F324" s="379"/>
      <c r="G324" s="379"/>
    </row>
    <row r="325" spans="1:7" s="485" customFormat="1" ht="13.5">
      <c r="A325" s="484"/>
      <c r="B325" s="379"/>
      <c r="C325" s="379"/>
      <c r="D325" s="379"/>
      <c r="E325" s="379"/>
      <c r="F325" s="379"/>
      <c r="G325" s="379"/>
    </row>
    <row r="326" spans="1:7" s="485" customFormat="1" ht="13.5">
      <c r="A326" s="484"/>
      <c r="B326" s="379"/>
      <c r="C326" s="379"/>
      <c r="D326" s="379"/>
      <c r="E326" s="379"/>
      <c r="F326" s="379"/>
      <c r="G326" s="379"/>
    </row>
    <row r="327" spans="1:7" s="485" customFormat="1" ht="13.5">
      <c r="A327" s="484"/>
      <c r="B327" s="379"/>
      <c r="C327" s="379"/>
      <c r="D327" s="379"/>
      <c r="E327" s="379"/>
      <c r="F327" s="379"/>
      <c r="G327" s="379"/>
    </row>
    <row r="328" spans="1:7" s="485" customFormat="1" ht="13.5">
      <c r="A328" s="484"/>
      <c r="B328" s="379"/>
      <c r="C328" s="379"/>
      <c r="D328" s="379"/>
      <c r="E328" s="379"/>
      <c r="F328" s="379"/>
      <c r="G328" s="379"/>
    </row>
    <row r="329" spans="1:7" s="485" customFormat="1" ht="13.5">
      <c r="A329" s="484"/>
      <c r="B329" s="379"/>
      <c r="C329" s="379"/>
      <c r="D329" s="379"/>
      <c r="E329" s="379"/>
      <c r="F329" s="379"/>
      <c r="G329" s="379"/>
    </row>
    <row r="330" spans="1:7" s="485" customFormat="1" ht="13.5">
      <c r="A330" s="484"/>
      <c r="B330" s="379"/>
      <c r="C330" s="379"/>
      <c r="D330" s="379"/>
      <c r="E330" s="379"/>
      <c r="F330" s="379"/>
      <c r="G330" s="379"/>
    </row>
    <row r="331" spans="1:7" s="485" customFormat="1" ht="13.5">
      <c r="A331" s="484"/>
      <c r="B331" s="379"/>
      <c r="C331" s="379"/>
      <c r="D331" s="379"/>
      <c r="E331" s="379"/>
      <c r="F331" s="379"/>
      <c r="G331" s="379"/>
    </row>
    <row r="332" spans="1:7" s="485" customFormat="1" ht="13.5">
      <c r="A332" s="484"/>
      <c r="B332" s="379"/>
      <c r="C332" s="379"/>
      <c r="D332" s="379"/>
      <c r="E332" s="379"/>
      <c r="F332" s="379"/>
      <c r="G332" s="379"/>
    </row>
    <row r="333" spans="1:7" s="485" customFormat="1" ht="13.5">
      <c r="A333" s="484"/>
      <c r="B333" s="379"/>
      <c r="C333" s="379"/>
      <c r="D333" s="379"/>
      <c r="E333" s="379"/>
      <c r="F333" s="379"/>
      <c r="G333" s="379"/>
    </row>
    <row r="334" spans="1:7" s="485" customFormat="1" ht="13.5">
      <c r="A334" s="484"/>
      <c r="B334" s="379"/>
      <c r="C334" s="379"/>
      <c r="D334" s="379"/>
      <c r="E334" s="379"/>
      <c r="F334" s="379"/>
      <c r="G334" s="379"/>
    </row>
    <row r="335" spans="1:7" s="485" customFormat="1" ht="13.5">
      <c r="A335" s="484"/>
      <c r="B335" s="379"/>
      <c r="C335" s="379"/>
      <c r="D335" s="379"/>
      <c r="E335" s="379"/>
      <c r="F335" s="379"/>
      <c r="G335" s="379"/>
    </row>
    <row r="336" spans="1:7" s="485" customFormat="1" ht="13.5">
      <c r="A336" s="484"/>
      <c r="B336" s="379"/>
      <c r="C336" s="379"/>
      <c r="D336" s="379"/>
      <c r="E336" s="379"/>
      <c r="F336" s="379"/>
      <c r="G336" s="379"/>
    </row>
    <row r="337" spans="1:7" s="485" customFormat="1" ht="13.5">
      <c r="A337" s="484"/>
      <c r="B337" s="379"/>
      <c r="C337" s="379"/>
      <c r="D337" s="379"/>
      <c r="E337" s="379"/>
      <c r="F337" s="379"/>
      <c r="G337" s="379"/>
    </row>
    <row r="338" spans="1:7" s="485" customFormat="1" ht="13.5">
      <c r="A338" s="484"/>
      <c r="B338" s="379"/>
      <c r="C338" s="379"/>
      <c r="D338" s="379"/>
      <c r="E338" s="379"/>
      <c r="F338" s="379"/>
      <c r="G338" s="379"/>
    </row>
    <row r="339" spans="1:7" s="485" customFormat="1" ht="13.5">
      <c r="A339" s="484"/>
      <c r="B339" s="379"/>
      <c r="C339" s="379"/>
      <c r="D339" s="379"/>
      <c r="E339" s="379"/>
      <c r="F339" s="379"/>
      <c r="G339" s="379"/>
    </row>
    <row r="340" spans="1:7" s="485" customFormat="1" ht="13.5">
      <c r="A340" s="484"/>
      <c r="B340" s="379"/>
      <c r="C340" s="379"/>
      <c r="D340" s="379"/>
      <c r="E340" s="379"/>
      <c r="F340" s="379"/>
      <c r="G340" s="379"/>
    </row>
    <row r="341" spans="1:7" s="485" customFormat="1" ht="13.5">
      <c r="A341" s="484"/>
      <c r="B341" s="379"/>
      <c r="C341" s="379"/>
      <c r="D341" s="379"/>
      <c r="E341" s="379"/>
      <c r="F341" s="379"/>
      <c r="G341" s="379"/>
    </row>
    <row r="342" spans="1:7" s="485" customFormat="1" ht="13.5">
      <c r="A342" s="484"/>
      <c r="B342" s="379"/>
      <c r="C342" s="379"/>
      <c r="D342" s="379"/>
      <c r="E342" s="379"/>
      <c r="F342" s="379"/>
      <c r="G342" s="379"/>
    </row>
    <row r="343" spans="1:7" s="485" customFormat="1" ht="13.5">
      <c r="A343" s="484"/>
      <c r="B343" s="379"/>
      <c r="C343" s="379"/>
      <c r="D343" s="379"/>
      <c r="E343" s="379"/>
      <c r="F343" s="379"/>
      <c r="G343" s="379"/>
    </row>
    <row r="344" spans="1:7" s="485" customFormat="1" ht="13.5">
      <c r="A344" s="484"/>
      <c r="B344" s="379"/>
      <c r="C344" s="379"/>
      <c r="D344" s="379"/>
      <c r="E344" s="379"/>
      <c r="F344" s="379"/>
      <c r="G344" s="379"/>
    </row>
    <row r="345" spans="1:7" s="485" customFormat="1" ht="13.5">
      <c r="A345" s="484"/>
      <c r="B345" s="379"/>
      <c r="C345" s="379"/>
      <c r="D345" s="379"/>
      <c r="E345" s="379"/>
      <c r="F345" s="379"/>
      <c r="G345" s="379"/>
    </row>
    <row r="346" spans="1:7" s="485" customFormat="1" ht="13.5">
      <c r="A346" s="484"/>
      <c r="B346" s="379"/>
      <c r="C346" s="379"/>
      <c r="D346" s="379"/>
      <c r="E346" s="379"/>
      <c r="F346" s="379"/>
      <c r="G346" s="379"/>
    </row>
    <row r="347" spans="1:7" s="485" customFormat="1" ht="13.5">
      <c r="A347" s="484"/>
      <c r="B347" s="379"/>
      <c r="C347" s="379"/>
      <c r="D347" s="379"/>
      <c r="E347" s="379"/>
      <c r="F347" s="379"/>
      <c r="G347" s="379"/>
    </row>
    <row r="348" spans="1:7" s="485" customFormat="1" ht="13.5">
      <c r="A348" s="484"/>
      <c r="B348" s="379"/>
      <c r="C348" s="379"/>
      <c r="D348" s="379"/>
      <c r="E348" s="379"/>
      <c r="F348" s="379"/>
      <c r="G348" s="379"/>
    </row>
    <row r="349" spans="1:7" s="485" customFormat="1" ht="13.5">
      <c r="A349" s="484"/>
      <c r="B349" s="379"/>
      <c r="C349" s="379"/>
      <c r="D349" s="379"/>
      <c r="E349" s="379"/>
      <c r="F349" s="379"/>
      <c r="G349" s="379"/>
    </row>
    <row r="350" spans="1:7" s="485" customFormat="1" ht="13.5">
      <c r="A350" s="484"/>
      <c r="B350" s="379"/>
      <c r="C350" s="379"/>
      <c r="D350" s="379"/>
      <c r="E350" s="379"/>
      <c r="F350" s="379"/>
      <c r="G350" s="379"/>
    </row>
    <row r="351" spans="1:7" s="485" customFormat="1" ht="13.5">
      <c r="A351" s="484"/>
      <c r="B351" s="379"/>
      <c r="C351" s="379"/>
      <c r="D351" s="379"/>
      <c r="E351" s="379"/>
      <c r="F351" s="379"/>
      <c r="G351" s="379"/>
    </row>
    <row r="352" spans="1:7" s="485" customFormat="1" ht="13.5">
      <c r="A352" s="484"/>
      <c r="B352" s="379"/>
      <c r="C352" s="379"/>
      <c r="D352" s="379"/>
      <c r="E352" s="379"/>
      <c r="F352" s="379"/>
      <c r="G352" s="379"/>
    </row>
    <row r="353" spans="1:7" s="485" customFormat="1" ht="13.5">
      <c r="A353" s="484"/>
      <c r="B353" s="379"/>
      <c r="C353" s="379"/>
      <c r="D353" s="379"/>
      <c r="E353" s="379"/>
      <c r="F353" s="379"/>
      <c r="G353" s="379"/>
    </row>
    <row r="354" spans="1:7" s="485" customFormat="1" ht="13.5">
      <c r="A354" s="484"/>
      <c r="B354" s="379"/>
      <c r="C354" s="379"/>
      <c r="D354" s="379"/>
      <c r="E354" s="379"/>
      <c r="F354" s="379"/>
      <c r="G354" s="379"/>
    </row>
    <row r="355" spans="1:7" s="485" customFormat="1" ht="13.5">
      <c r="A355" s="484"/>
      <c r="B355" s="379"/>
      <c r="C355" s="379"/>
      <c r="D355" s="379"/>
      <c r="E355" s="379"/>
      <c r="F355" s="379"/>
      <c r="G355" s="379"/>
    </row>
    <row r="356" spans="1:7" s="485" customFormat="1" ht="13.5">
      <c r="A356" s="484"/>
      <c r="B356" s="379"/>
      <c r="C356" s="379"/>
      <c r="D356" s="379"/>
      <c r="E356" s="379"/>
      <c r="F356" s="379"/>
      <c r="G356" s="379"/>
    </row>
    <row r="357" spans="1:7" s="485" customFormat="1" ht="13.5">
      <c r="A357" s="484"/>
      <c r="B357" s="379"/>
      <c r="C357" s="379"/>
      <c r="D357" s="379"/>
      <c r="E357" s="379"/>
      <c r="F357" s="379"/>
      <c r="G357" s="379"/>
    </row>
    <row r="358" spans="1:7" s="485" customFormat="1" ht="13.5">
      <c r="A358" s="484"/>
      <c r="B358" s="379"/>
      <c r="C358" s="379"/>
      <c r="D358" s="379"/>
      <c r="E358" s="379"/>
      <c r="F358" s="379"/>
      <c r="G358" s="379"/>
    </row>
    <row r="359" spans="1:7" s="485" customFormat="1" ht="13.5">
      <c r="A359" s="484"/>
      <c r="B359" s="379"/>
      <c r="C359" s="379"/>
      <c r="D359" s="379"/>
      <c r="E359" s="379"/>
      <c r="F359" s="379"/>
      <c r="G359" s="379"/>
    </row>
    <row r="360" spans="1:7" s="485" customFormat="1" ht="13.5">
      <c r="A360" s="484"/>
      <c r="B360" s="353"/>
      <c r="C360" s="353"/>
      <c r="D360" s="379"/>
      <c r="E360" s="379"/>
      <c r="F360" s="379"/>
      <c r="G360" s="379"/>
    </row>
    <row r="361" spans="1:7" s="485" customFormat="1" ht="13.5">
      <c r="A361" s="484"/>
      <c r="B361" s="353"/>
      <c r="C361" s="353"/>
      <c r="D361" s="379"/>
      <c r="E361" s="379"/>
      <c r="F361" s="379"/>
      <c r="G361" s="379"/>
    </row>
    <row r="362" spans="1:7" s="485" customFormat="1" ht="13.5">
      <c r="A362" s="484"/>
      <c r="B362" s="353"/>
      <c r="C362" s="353"/>
      <c r="D362" s="379"/>
      <c r="E362" s="353"/>
      <c r="F362" s="353"/>
      <c r="G362" s="379"/>
    </row>
    <row r="363" spans="1:7" s="485" customFormat="1" ht="13.5">
      <c r="A363" s="484"/>
      <c r="B363" s="353"/>
      <c r="C363" s="353"/>
      <c r="D363" s="379"/>
      <c r="E363" s="353"/>
      <c r="F363" s="353"/>
      <c r="G363" s="379"/>
    </row>
    <row r="364" spans="1:7" s="485" customFormat="1" ht="13.5">
      <c r="A364" s="484"/>
      <c r="B364" s="353"/>
      <c r="C364" s="353"/>
      <c r="D364" s="379"/>
      <c r="E364" s="353"/>
      <c r="F364" s="353"/>
      <c r="G364" s="379"/>
    </row>
    <row r="365" spans="1:7" s="485" customFormat="1" ht="13.5">
      <c r="A365" s="484"/>
      <c r="B365" s="353"/>
      <c r="C365" s="353"/>
      <c r="D365" s="379"/>
      <c r="E365" s="353"/>
      <c r="F365" s="353"/>
      <c r="G365" s="379"/>
    </row>
  </sheetData>
  <sheetProtection password="EA98" sheet="1" formatColumns="0" selectLockedCells="1"/>
  <mergeCells count="90">
    <mergeCell ref="B208:F208"/>
    <mergeCell ref="B190:F190"/>
    <mergeCell ref="B193:F193"/>
    <mergeCell ref="B196:F196"/>
    <mergeCell ref="B199:F199"/>
    <mergeCell ref="B202:F202"/>
    <mergeCell ref="B205:F205"/>
    <mergeCell ref="B172:F172"/>
    <mergeCell ref="B175:F175"/>
    <mergeCell ref="B178:F178"/>
    <mergeCell ref="B181:F181"/>
    <mergeCell ref="B184:F184"/>
    <mergeCell ref="B187:F187"/>
    <mergeCell ref="B166:F166"/>
    <mergeCell ref="B169:F169"/>
    <mergeCell ref="B148:F148"/>
    <mergeCell ref="B151:F151"/>
    <mergeCell ref="B154:F154"/>
    <mergeCell ref="B157:F157"/>
    <mergeCell ref="B160:F160"/>
    <mergeCell ref="B163:F163"/>
    <mergeCell ref="B106:F106"/>
    <mergeCell ref="B109:F109"/>
    <mergeCell ref="B112:F112"/>
    <mergeCell ref="B115:F115"/>
    <mergeCell ref="B118:F118"/>
    <mergeCell ref="B121:F121"/>
    <mergeCell ref="B88:F88"/>
    <mergeCell ref="B91:F91"/>
    <mergeCell ref="B94:F94"/>
    <mergeCell ref="B97:F97"/>
    <mergeCell ref="B100:F100"/>
    <mergeCell ref="B103:F103"/>
    <mergeCell ref="B53:F53"/>
    <mergeCell ref="B56:F56"/>
    <mergeCell ref="B59:F59"/>
    <mergeCell ref="B62:F62"/>
    <mergeCell ref="B82:F82"/>
    <mergeCell ref="B85:F85"/>
    <mergeCell ref="B44:E44"/>
    <mergeCell ref="C2:F2"/>
    <mergeCell ref="E8:G8"/>
    <mergeCell ref="E9:G9"/>
    <mergeCell ref="E10:G10"/>
    <mergeCell ref="C3:F3"/>
    <mergeCell ref="B6:G6"/>
    <mergeCell ref="E11:G11"/>
    <mergeCell ref="E12:G12"/>
    <mergeCell ref="F23:G23"/>
    <mergeCell ref="B221:G221"/>
    <mergeCell ref="B48:E48"/>
    <mergeCell ref="B41:G41"/>
    <mergeCell ref="B46:E46"/>
    <mergeCell ref="B50:E50"/>
    <mergeCell ref="B218:G218"/>
    <mergeCell ref="B216:G216"/>
    <mergeCell ref="B210:G210"/>
    <mergeCell ref="B211:G215"/>
    <mergeCell ref="B124:F124"/>
    <mergeCell ref="D15:G15"/>
    <mergeCell ref="B19:C19"/>
    <mergeCell ref="B23:C23"/>
    <mergeCell ref="B16:G16"/>
    <mergeCell ref="D26:E26"/>
    <mergeCell ref="F25:G25"/>
    <mergeCell ref="D25:E25"/>
    <mergeCell ref="B26:C26"/>
    <mergeCell ref="B30:G30"/>
    <mergeCell ref="F19:G19"/>
    <mergeCell ref="B22:C22"/>
    <mergeCell ref="D22:E22"/>
    <mergeCell ref="D19:E19"/>
    <mergeCell ref="F22:G22"/>
    <mergeCell ref="B36:G36"/>
    <mergeCell ref="B39:C39"/>
    <mergeCell ref="B33:C33"/>
    <mergeCell ref="B34:C34"/>
    <mergeCell ref="D23:E23"/>
    <mergeCell ref="F24:G24"/>
    <mergeCell ref="B25:C25"/>
    <mergeCell ref="B24:C24"/>
    <mergeCell ref="D24:E24"/>
    <mergeCell ref="F26:G26"/>
    <mergeCell ref="B139:F139"/>
    <mergeCell ref="B142:F142"/>
    <mergeCell ref="B145:F145"/>
    <mergeCell ref="B127:F127"/>
    <mergeCell ref="B130:F130"/>
    <mergeCell ref="B133:F133"/>
    <mergeCell ref="B136:F136"/>
  </mergeCells>
  <dataValidations count="1">
    <dataValidation type="whole" allowBlank="1" showInputMessage="1" showErrorMessage="1" errorTitle="ATTENZIONE" error="INSERIRE SOLO VALORI NUMERICI INTERI" sqref="G88 G118 G115 G112 G109 G106 G97 G53 G91 G62 G82 G103 G59 G56 G100 G94 G85 G121 G124 G130 G127 G133 G136 G142 G139 G151 G145 G148 G154 G157 G160 G163 G166 G169 G208 G172 G178 G181 G184 G187 G190 G193 G196 G199 G202 G205 G175">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Z1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35.66015625" style="5" customWidth="1"/>
    <col min="2" max="2" width="8.66015625" style="7" bestFit="1" customWidth="1"/>
    <col min="3" max="26" width="7.83203125" style="5" customWidth="1"/>
    <col min="27" max="48" width="8.5" style="5" customWidth="1"/>
    <col min="49" max="49" width="15.16015625" style="638" bestFit="1" customWidth="1"/>
    <col min="50" max="51" width="8.66015625" style="5" customWidth="1"/>
    <col min="52" max="52" width="0" style="5" hidden="1" customWidth="1"/>
    <col min="53" max="16384" width="9.33203125" style="5" customWidth="1"/>
  </cols>
  <sheetData>
    <row r="1" spans="1:51" ht="43.5" customHeight="1">
      <c r="A1" s="930" t="s">
        <v>274</v>
      </c>
      <c r="B1" s="2"/>
      <c r="C1" s="882" t="str">
        <f>'t1'!A1</f>
        <v>AVVOCATURA DI STATO - anno 2021</v>
      </c>
      <c r="D1" s="882"/>
      <c r="E1" s="882"/>
      <c r="F1" s="882"/>
      <c r="G1" s="882"/>
      <c r="H1" s="882"/>
      <c r="I1" s="882"/>
      <c r="J1" s="882"/>
      <c r="K1" s="882"/>
      <c r="L1" s="882"/>
      <c r="M1" s="882"/>
      <c r="N1" s="882"/>
      <c r="O1" s="882"/>
      <c r="P1" s="882"/>
      <c r="Q1" s="882"/>
      <c r="R1" s="882"/>
      <c r="S1" s="882"/>
      <c r="T1" s="882"/>
      <c r="U1" s="882"/>
      <c r="V1" s="882"/>
      <c r="W1" s="882"/>
      <c r="Z1" s="295"/>
      <c r="AA1" s="882" t="str">
        <f>C1</f>
        <v>AVVOCATURA DI STATO - anno 2021</v>
      </c>
      <c r="AB1" s="882"/>
      <c r="AC1" s="882"/>
      <c r="AD1" s="882"/>
      <c r="AE1" s="882"/>
      <c r="AF1" s="882"/>
      <c r="AG1" s="882"/>
      <c r="AH1" s="882"/>
      <c r="AI1" s="882"/>
      <c r="AJ1" s="882"/>
      <c r="AK1" s="882"/>
      <c r="AL1" s="882"/>
      <c r="AM1" s="882"/>
      <c r="AN1" s="882"/>
      <c r="AO1" s="882"/>
      <c r="AP1" s="882"/>
      <c r="AQ1" s="882"/>
      <c r="AR1" s="882"/>
      <c r="AS1" s="882"/>
      <c r="AV1" s="295"/>
      <c r="AY1" s="639"/>
    </row>
    <row r="2" spans="1:48" ht="30" customHeight="1" thickBot="1">
      <c r="A2" s="931"/>
      <c r="S2" s="883"/>
      <c r="T2" s="883"/>
      <c r="U2" s="883"/>
      <c r="V2" s="883"/>
      <c r="W2" s="883"/>
      <c r="X2" s="883"/>
      <c r="Y2" s="883"/>
      <c r="Z2" s="883"/>
      <c r="AO2" s="883"/>
      <c r="AP2" s="883"/>
      <c r="AQ2" s="883"/>
      <c r="AR2" s="883"/>
      <c r="AS2" s="883"/>
      <c r="AT2" s="883"/>
      <c r="AU2" s="883"/>
      <c r="AV2" s="883"/>
    </row>
    <row r="3" spans="1:51" ht="10.5" thickBot="1">
      <c r="A3" s="118"/>
      <c r="B3" s="246" t="s">
        <v>224</v>
      </c>
      <c r="C3" s="119"/>
      <c r="D3" s="120"/>
      <c r="E3" s="120"/>
      <c r="F3" s="120"/>
      <c r="G3" s="120"/>
      <c r="H3" s="120"/>
      <c r="I3" s="120"/>
      <c r="J3" s="120"/>
      <c r="K3" s="120"/>
      <c r="L3" s="120"/>
      <c r="M3" s="120"/>
      <c r="N3" s="120"/>
      <c r="O3" s="120"/>
      <c r="P3" s="120"/>
      <c r="Q3" s="120"/>
      <c r="R3" s="120"/>
      <c r="S3" s="120"/>
      <c r="T3" s="120"/>
      <c r="U3" s="120"/>
      <c r="V3" s="120"/>
      <c r="W3" s="120"/>
      <c r="X3" s="254"/>
      <c r="Y3" s="254"/>
      <c r="Z3" s="121"/>
      <c r="AA3" s="254"/>
      <c r="AB3" s="254"/>
      <c r="AC3" s="254"/>
      <c r="AD3" s="254"/>
      <c r="AE3" s="254"/>
      <c r="AF3" s="254"/>
      <c r="AG3" s="254"/>
      <c r="AH3" s="254"/>
      <c r="AI3" s="254"/>
      <c r="AJ3" s="254"/>
      <c r="AK3" s="254"/>
      <c r="AL3" s="254"/>
      <c r="AM3" s="254"/>
      <c r="AN3" s="254"/>
      <c r="AO3" s="254"/>
      <c r="AP3" s="254"/>
      <c r="AQ3" s="254"/>
      <c r="AR3" s="254"/>
      <c r="AS3" s="254"/>
      <c r="AT3" s="254"/>
      <c r="AU3" s="254"/>
      <c r="AV3" s="255"/>
      <c r="AX3" s="640"/>
      <c r="AY3" s="641"/>
    </row>
    <row r="4" spans="1:51" ht="42" customHeight="1" thickTop="1">
      <c r="A4" s="22" t="s">
        <v>122</v>
      </c>
      <c r="B4" s="247" t="s">
        <v>94</v>
      </c>
      <c r="C4" s="928" t="s">
        <v>256</v>
      </c>
      <c r="D4" s="929"/>
      <c r="E4" s="928" t="s">
        <v>331</v>
      </c>
      <c r="F4" s="929"/>
      <c r="G4" s="928" t="s">
        <v>108</v>
      </c>
      <c r="H4" s="932"/>
      <c r="I4" s="928" t="s">
        <v>109</v>
      </c>
      <c r="J4" s="929"/>
      <c r="K4" s="928" t="s">
        <v>106</v>
      </c>
      <c r="L4" s="929"/>
      <c r="M4" s="928" t="s">
        <v>100</v>
      </c>
      <c r="N4" s="929"/>
      <c r="O4" s="928" t="s">
        <v>257</v>
      </c>
      <c r="P4" s="929"/>
      <c r="Q4" s="928" t="s">
        <v>104</v>
      </c>
      <c r="R4" s="929"/>
      <c r="S4" s="923" t="s">
        <v>99</v>
      </c>
      <c r="T4" s="927"/>
      <c r="U4" s="928" t="s">
        <v>97</v>
      </c>
      <c r="V4" s="929"/>
      <c r="W4" s="928" t="s">
        <v>103</v>
      </c>
      <c r="X4" s="929"/>
      <c r="Y4" s="928" t="s">
        <v>105</v>
      </c>
      <c r="Z4" s="929"/>
      <c r="AA4" s="928" t="s">
        <v>96</v>
      </c>
      <c r="AB4" s="929"/>
      <c r="AC4" s="122" t="s">
        <v>107</v>
      </c>
      <c r="AD4" s="123"/>
      <c r="AE4" s="928" t="s">
        <v>111</v>
      </c>
      <c r="AF4" s="929"/>
      <c r="AG4" s="928" t="s">
        <v>110</v>
      </c>
      <c r="AH4" s="929"/>
      <c r="AI4" s="928" t="s">
        <v>101</v>
      </c>
      <c r="AJ4" s="929"/>
      <c r="AK4" s="928" t="s">
        <v>102</v>
      </c>
      <c r="AL4" s="929"/>
      <c r="AM4" s="928" t="s">
        <v>95</v>
      </c>
      <c r="AN4" s="929"/>
      <c r="AO4" s="928" t="s">
        <v>98</v>
      </c>
      <c r="AP4" s="929"/>
      <c r="AQ4" s="928" t="s">
        <v>258</v>
      </c>
      <c r="AR4" s="929"/>
      <c r="AS4" s="923" t="s">
        <v>259</v>
      </c>
      <c r="AT4" s="927"/>
      <c r="AU4" s="923" t="s">
        <v>58</v>
      </c>
      <c r="AV4" s="924"/>
      <c r="AX4" s="925" t="s">
        <v>423</v>
      </c>
      <c r="AY4" s="926"/>
    </row>
    <row r="5" spans="1:51" s="253" customFormat="1" ht="8.25" thickBot="1">
      <c r="A5" s="734" t="s">
        <v>478</v>
      </c>
      <c r="B5" s="248"/>
      <c r="C5" s="249" t="s">
        <v>56</v>
      </c>
      <c r="D5" s="250" t="s">
        <v>57</v>
      </c>
      <c r="E5" s="249" t="s">
        <v>56</v>
      </c>
      <c r="F5" s="250" t="s">
        <v>57</v>
      </c>
      <c r="G5" s="249" t="s">
        <v>56</v>
      </c>
      <c r="H5" s="250" t="s">
        <v>57</v>
      </c>
      <c r="I5" s="249" t="s">
        <v>56</v>
      </c>
      <c r="J5" s="250" t="s">
        <v>57</v>
      </c>
      <c r="K5" s="249" t="s">
        <v>56</v>
      </c>
      <c r="L5" s="250" t="s">
        <v>57</v>
      </c>
      <c r="M5" s="249" t="s">
        <v>56</v>
      </c>
      <c r="N5" s="251" t="s">
        <v>57</v>
      </c>
      <c r="O5" s="249" t="s">
        <v>56</v>
      </c>
      <c r="P5" s="251" t="s">
        <v>57</v>
      </c>
      <c r="Q5" s="249" t="s">
        <v>56</v>
      </c>
      <c r="R5" s="251" t="s">
        <v>57</v>
      </c>
      <c r="S5" s="249" t="s">
        <v>56</v>
      </c>
      <c r="T5" s="251" t="s">
        <v>57</v>
      </c>
      <c r="U5" s="249" t="s">
        <v>56</v>
      </c>
      <c r="V5" s="251" t="s">
        <v>57</v>
      </c>
      <c r="W5" s="249" t="s">
        <v>56</v>
      </c>
      <c r="X5" s="250" t="s">
        <v>57</v>
      </c>
      <c r="Y5" s="249" t="s">
        <v>56</v>
      </c>
      <c r="Z5" s="250" t="s">
        <v>57</v>
      </c>
      <c r="AA5" s="249" t="s">
        <v>56</v>
      </c>
      <c r="AB5" s="250" t="s">
        <v>57</v>
      </c>
      <c r="AC5" s="249" t="s">
        <v>56</v>
      </c>
      <c r="AD5" s="251" t="s">
        <v>57</v>
      </c>
      <c r="AE5" s="249" t="s">
        <v>56</v>
      </c>
      <c r="AF5" s="251" t="s">
        <v>57</v>
      </c>
      <c r="AG5" s="249" t="s">
        <v>56</v>
      </c>
      <c r="AH5" s="251" t="s">
        <v>57</v>
      </c>
      <c r="AI5" s="249" t="s">
        <v>56</v>
      </c>
      <c r="AJ5" s="251" t="s">
        <v>57</v>
      </c>
      <c r="AK5" s="249" t="s">
        <v>56</v>
      </c>
      <c r="AL5" s="251" t="s">
        <v>57</v>
      </c>
      <c r="AM5" s="249" t="s">
        <v>56</v>
      </c>
      <c r="AN5" s="251" t="s">
        <v>57</v>
      </c>
      <c r="AO5" s="249" t="s">
        <v>56</v>
      </c>
      <c r="AP5" s="250" t="s">
        <v>57</v>
      </c>
      <c r="AQ5" s="249" t="s">
        <v>56</v>
      </c>
      <c r="AR5" s="250" t="s">
        <v>57</v>
      </c>
      <c r="AS5" s="252" t="s">
        <v>56</v>
      </c>
      <c r="AT5" s="250" t="s">
        <v>57</v>
      </c>
      <c r="AU5" s="252" t="s">
        <v>56</v>
      </c>
      <c r="AV5" s="251" t="s">
        <v>57</v>
      </c>
      <c r="AW5" s="642"/>
      <c r="AX5" s="643" t="s">
        <v>56</v>
      </c>
      <c r="AY5" s="644" t="s">
        <v>57</v>
      </c>
    </row>
    <row r="6" spans="1:52" ht="12.75" customHeight="1" thickTop="1">
      <c r="A6" s="20" t="str">
        <f>'t1'!A6</f>
        <v>AVVOCATO GENERALE</v>
      </c>
      <c r="B6" s="217" t="str">
        <f>'t1'!B6</f>
        <v>0D0381</v>
      </c>
      <c r="C6" s="627"/>
      <c r="D6" s="628"/>
      <c r="E6" s="627"/>
      <c r="F6" s="628"/>
      <c r="G6" s="627"/>
      <c r="H6" s="628"/>
      <c r="I6" s="627"/>
      <c r="J6" s="628"/>
      <c r="K6" s="627"/>
      <c r="L6" s="628"/>
      <c r="M6" s="627"/>
      <c r="N6" s="628"/>
      <c r="O6" s="627"/>
      <c r="P6" s="628"/>
      <c r="Q6" s="627"/>
      <c r="R6" s="628"/>
      <c r="S6" s="627"/>
      <c r="T6" s="628"/>
      <c r="U6" s="627"/>
      <c r="V6" s="628"/>
      <c r="W6" s="627"/>
      <c r="X6" s="628"/>
      <c r="Y6" s="627"/>
      <c r="Z6" s="628"/>
      <c r="AA6" s="627"/>
      <c r="AB6" s="628"/>
      <c r="AC6" s="627"/>
      <c r="AD6" s="628"/>
      <c r="AE6" s="627"/>
      <c r="AF6" s="628"/>
      <c r="AG6" s="627"/>
      <c r="AH6" s="628"/>
      <c r="AI6" s="627"/>
      <c r="AJ6" s="628"/>
      <c r="AK6" s="627"/>
      <c r="AL6" s="628"/>
      <c r="AM6" s="627"/>
      <c r="AN6" s="628"/>
      <c r="AO6" s="627"/>
      <c r="AP6" s="628"/>
      <c r="AQ6" s="627"/>
      <c r="AR6" s="628"/>
      <c r="AS6" s="627"/>
      <c r="AT6" s="628"/>
      <c r="AU6" s="447">
        <f>SUM(S6,U6,W6,Y6,C6,E6,G6,I6,K6,M6,O6,Q6,AA6,AC6,AE6,AG6,AI6,AK6,AM6,AO6,AQ6,AS6)</f>
        <v>0</v>
      </c>
      <c r="AV6" s="448">
        <f>SUM(T6,V6,X6,Z6,D6,F6,H6,J6,L6,N6,P6,R6,AB6,AD6,AF6,AH6,AJ6,AL6,AN6,AP6,AR6,AT6)</f>
        <v>0</v>
      </c>
      <c r="AW6" s="645" t="str">
        <f>IF((AU6+AV6)=(AX6+AY6),"OK","Controllare totale")</f>
        <v>OK</v>
      </c>
      <c r="AX6" s="646">
        <f>'t1'!K6-'t3'!C6-'t3'!E6-'t3'!G6-'t3'!I6+'t3'!K6+'t3'!M6+'t3'!O6</f>
        <v>0</v>
      </c>
      <c r="AY6" s="647">
        <f>'t1'!L6-'t3'!D6-'t3'!F6-'t3'!H6-'t3'!J6+'t3'!L6+'t3'!N6+'t3'!P6</f>
        <v>0</v>
      </c>
      <c r="AZ6" s="5">
        <f>'t1'!M6</f>
        <v>0</v>
      </c>
    </row>
    <row r="7" spans="1:52" ht="12.75" customHeight="1">
      <c r="A7" s="19" t="str">
        <f>'t1'!A7</f>
        <v>AVVOCATO GENERALE AGGIUNTO</v>
      </c>
      <c r="B7" s="140" t="str">
        <f>'t1'!B7</f>
        <v>0D0845</v>
      </c>
      <c r="C7" s="629"/>
      <c r="D7" s="235"/>
      <c r="E7" s="629"/>
      <c r="F7" s="235"/>
      <c r="G7" s="629"/>
      <c r="H7" s="235"/>
      <c r="I7" s="629"/>
      <c r="J7" s="235"/>
      <c r="K7" s="629"/>
      <c r="L7" s="235"/>
      <c r="M7" s="629"/>
      <c r="N7" s="235"/>
      <c r="O7" s="629"/>
      <c r="P7" s="235"/>
      <c r="Q7" s="629"/>
      <c r="R7" s="235"/>
      <c r="S7" s="629"/>
      <c r="T7" s="235"/>
      <c r="U7" s="629"/>
      <c r="V7" s="235"/>
      <c r="W7" s="629"/>
      <c r="X7" s="235"/>
      <c r="Y7" s="629"/>
      <c r="Z7" s="235"/>
      <c r="AA7" s="629"/>
      <c r="AB7" s="235"/>
      <c r="AC7" s="629"/>
      <c r="AD7" s="235"/>
      <c r="AE7" s="629"/>
      <c r="AF7" s="235"/>
      <c r="AG7" s="629"/>
      <c r="AH7" s="235"/>
      <c r="AI7" s="629"/>
      <c r="AJ7" s="235"/>
      <c r="AK7" s="629"/>
      <c r="AL7" s="235"/>
      <c r="AM7" s="629"/>
      <c r="AN7" s="235"/>
      <c r="AO7" s="629"/>
      <c r="AP7" s="235"/>
      <c r="AQ7" s="629"/>
      <c r="AR7" s="235"/>
      <c r="AS7" s="629"/>
      <c r="AT7" s="235"/>
      <c r="AU7" s="449">
        <f>SUM(C7,E7,G7,I7,K7,M7,O7,Q7,S7,U7,W7,Y7,AA7,AC7,AE7,AG7,AI7,AK7,AM7,AO7,AQ7,AS7)</f>
        <v>0</v>
      </c>
      <c r="AV7" s="450">
        <f aca="true" t="shared" si="0" ref="AV7:AV13">SUM(T7,V7,X7,Z7,D7,F7,H7,J7,L7,N7,P7,R7,AB7,AD7,AF7,AH7,AJ7,AL7,AN7,AP7,AR7,AT7)</f>
        <v>0</v>
      </c>
      <c r="AW7" s="645" t="str">
        <f aca="true" t="shared" si="1" ref="AW7:AW13">IF((AU7+AV7)=(AX7+AY7),"OK","Controllare totale")</f>
        <v>OK</v>
      </c>
      <c r="AX7" s="648">
        <f>'t1'!K7-'t3'!C7-'t3'!E7-'t3'!G7-'t3'!I7+'t3'!K7+'t3'!M7+'t3'!O7</f>
        <v>0</v>
      </c>
      <c r="AY7" s="649">
        <f>'t1'!L7-'t3'!D7-'t3'!F7-'t3'!H7-'t3'!J7+'t3'!L7+'t3'!N7+'t3'!P7</f>
        <v>0</v>
      </c>
      <c r="AZ7" s="5">
        <f>'t1'!M7</f>
        <v>0</v>
      </c>
    </row>
    <row r="8" spans="1:52" ht="12.75" customHeight="1">
      <c r="A8" s="19" t="str">
        <f>'t1'!A8</f>
        <v>AVVOCATO IV CLASSE</v>
      </c>
      <c r="B8" s="140" t="str">
        <f>'t1'!B8</f>
        <v>0D0380</v>
      </c>
      <c r="C8" s="629"/>
      <c r="D8" s="235"/>
      <c r="E8" s="629"/>
      <c r="F8" s="235"/>
      <c r="G8" s="629"/>
      <c r="H8" s="235"/>
      <c r="I8" s="629"/>
      <c r="J8" s="235"/>
      <c r="K8" s="629"/>
      <c r="L8" s="235"/>
      <c r="M8" s="629"/>
      <c r="N8" s="235"/>
      <c r="O8" s="629"/>
      <c r="P8" s="235"/>
      <c r="Q8" s="629"/>
      <c r="R8" s="235"/>
      <c r="S8" s="629"/>
      <c r="T8" s="235"/>
      <c r="U8" s="629"/>
      <c r="V8" s="235"/>
      <c r="W8" s="629"/>
      <c r="X8" s="235"/>
      <c r="Y8" s="629"/>
      <c r="Z8" s="235"/>
      <c r="AA8" s="629"/>
      <c r="AB8" s="235"/>
      <c r="AC8" s="629"/>
      <c r="AD8" s="235"/>
      <c r="AE8" s="629"/>
      <c r="AF8" s="235"/>
      <c r="AG8" s="629"/>
      <c r="AH8" s="235"/>
      <c r="AI8" s="629"/>
      <c r="AJ8" s="235"/>
      <c r="AK8" s="629"/>
      <c r="AL8" s="235"/>
      <c r="AM8" s="629"/>
      <c r="AN8" s="235"/>
      <c r="AO8" s="629"/>
      <c r="AP8" s="235"/>
      <c r="AQ8" s="629"/>
      <c r="AR8" s="235"/>
      <c r="AS8" s="629"/>
      <c r="AT8" s="235"/>
      <c r="AU8" s="449">
        <f aca="true" t="shared" si="2" ref="AU8:AU13">SUM(S8,U8,W8,Y8,C8,E8,G8,I8,K8,M8,O8,Q8,AA8,AC8,AE8,AG8,AI8,AK8,AM8,AO8,AQ8,AS8)</f>
        <v>0</v>
      </c>
      <c r="AV8" s="450">
        <f t="shared" si="0"/>
        <v>0</v>
      </c>
      <c r="AW8" s="645" t="str">
        <f t="shared" si="1"/>
        <v>OK</v>
      </c>
      <c r="AX8" s="648">
        <f>'t1'!K8-'t3'!C8-'t3'!E8-'t3'!G8-'t3'!I8+'t3'!K8+'t3'!M8+'t3'!O8</f>
        <v>0</v>
      </c>
      <c r="AY8" s="649">
        <f>'t1'!L8-'t3'!D8-'t3'!F8-'t3'!H8-'t3'!J8+'t3'!L8+'t3'!N8+'t3'!P8</f>
        <v>0</v>
      </c>
      <c r="AZ8" s="5">
        <f>'t1'!M8</f>
        <v>0</v>
      </c>
    </row>
    <row r="9" spans="1:52" ht="12.75" customHeight="1">
      <c r="A9" s="19" t="str">
        <f>'t1'!A9</f>
        <v>AVVOCATO III CLASSE</v>
      </c>
      <c r="B9" s="140" t="str">
        <f>'t1'!B9</f>
        <v>0D0379</v>
      </c>
      <c r="C9" s="629"/>
      <c r="D9" s="235"/>
      <c r="E9" s="629"/>
      <c r="F9" s="235"/>
      <c r="G9" s="629"/>
      <c r="H9" s="235"/>
      <c r="I9" s="629"/>
      <c r="J9" s="235"/>
      <c r="K9" s="629"/>
      <c r="L9" s="235"/>
      <c r="M9" s="629"/>
      <c r="N9" s="235"/>
      <c r="O9" s="629"/>
      <c r="P9" s="235"/>
      <c r="Q9" s="629"/>
      <c r="R9" s="235"/>
      <c r="S9" s="629"/>
      <c r="T9" s="235"/>
      <c r="U9" s="629"/>
      <c r="V9" s="235"/>
      <c r="W9" s="629"/>
      <c r="X9" s="235"/>
      <c r="Y9" s="629"/>
      <c r="Z9" s="235"/>
      <c r="AA9" s="629"/>
      <c r="AB9" s="235"/>
      <c r="AC9" s="629"/>
      <c r="AD9" s="235"/>
      <c r="AE9" s="629"/>
      <c r="AF9" s="235"/>
      <c r="AG9" s="629"/>
      <c r="AH9" s="235"/>
      <c r="AI9" s="629"/>
      <c r="AJ9" s="235"/>
      <c r="AK9" s="629"/>
      <c r="AL9" s="235"/>
      <c r="AM9" s="629"/>
      <c r="AN9" s="235"/>
      <c r="AO9" s="629"/>
      <c r="AP9" s="235"/>
      <c r="AQ9" s="629"/>
      <c r="AR9" s="235"/>
      <c r="AS9" s="629"/>
      <c r="AT9" s="235"/>
      <c r="AU9" s="449">
        <f t="shared" si="2"/>
        <v>0</v>
      </c>
      <c r="AV9" s="450">
        <f t="shared" si="0"/>
        <v>0</v>
      </c>
      <c r="AW9" s="645" t="str">
        <f t="shared" si="1"/>
        <v>OK</v>
      </c>
      <c r="AX9" s="648">
        <f>'t1'!K9-'t3'!C9-'t3'!E9-'t3'!G9-'t3'!I9+'t3'!K9+'t3'!M9+'t3'!O9</f>
        <v>0</v>
      </c>
      <c r="AY9" s="649">
        <f>'t1'!L9-'t3'!D9-'t3'!F9-'t3'!H9-'t3'!J9+'t3'!L9+'t3'!N9+'t3'!P9</f>
        <v>0</v>
      </c>
      <c r="AZ9" s="5">
        <f>'t1'!M9</f>
        <v>0</v>
      </c>
    </row>
    <row r="10" spans="1:52" ht="12.75" customHeight="1">
      <c r="A10" s="19" t="str">
        <f>'t1'!A10</f>
        <v>AVVOCATO II CLASSE ED EQUIP.</v>
      </c>
      <c r="B10" s="140" t="str">
        <f>'t1'!B10</f>
        <v>0D0A2E</v>
      </c>
      <c r="C10" s="629"/>
      <c r="D10" s="235"/>
      <c r="E10" s="629"/>
      <c r="F10" s="235"/>
      <c r="G10" s="629"/>
      <c r="H10" s="235"/>
      <c r="I10" s="629"/>
      <c r="J10" s="235"/>
      <c r="K10" s="629"/>
      <c r="L10" s="235"/>
      <c r="M10" s="629"/>
      <c r="N10" s="235"/>
      <c r="O10" s="629"/>
      <c r="P10" s="235"/>
      <c r="Q10" s="629"/>
      <c r="R10" s="235"/>
      <c r="S10" s="629"/>
      <c r="T10" s="235"/>
      <c r="U10" s="629"/>
      <c r="V10" s="235"/>
      <c r="W10" s="629"/>
      <c r="X10" s="235"/>
      <c r="Y10" s="629"/>
      <c r="Z10" s="235"/>
      <c r="AA10" s="629"/>
      <c r="AB10" s="235"/>
      <c r="AC10" s="629"/>
      <c r="AD10" s="235"/>
      <c r="AE10" s="629"/>
      <c r="AF10" s="235"/>
      <c r="AG10" s="629"/>
      <c r="AH10" s="235"/>
      <c r="AI10" s="629"/>
      <c r="AJ10" s="235"/>
      <c r="AK10" s="629"/>
      <c r="AL10" s="235"/>
      <c r="AM10" s="629"/>
      <c r="AN10" s="235"/>
      <c r="AO10" s="629"/>
      <c r="AP10" s="235"/>
      <c r="AQ10" s="629"/>
      <c r="AR10" s="235"/>
      <c r="AS10" s="629"/>
      <c r="AT10" s="235"/>
      <c r="AU10" s="449">
        <f t="shared" si="2"/>
        <v>0</v>
      </c>
      <c r="AV10" s="450">
        <f t="shared" si="0"/>
        <v>0</v>
      </c>
      <c r="AW10" s="645" t="str">
        <f t="shared" si="1"/>
        <v>OK</v>
      </c>
      <c r="AX10" s="648">
        <f>'t1'!K10-'t3'!C10-'t3'!E10-'t3'!G10-'t3'!I10+'t3'!K10+'t3'!M10+'t3'!O10</f>
        <v>0</v>
      </c>
      <c r="AY10" s="649">
        <f>'t1'!L10-'t3'!D10-'t3'!F10-'t3'!H10-'t3'!J10+'t3'!L10+'t3'!N10+'t3'!P10</f>
        <v>0</v>
      </c>
      <c r="AZ10" s="5">
        <f>'t1'!M10</f>
        <v>0</v>
      </c>
    </row>
    <row r="11" spans="1:52" ht="12.75" customHeight="1">
      <c r="A11" s="19" t="str">
        <f>'t1'!A11</f>
        <v>AVVOCATO I CLASSE ED EQUIP.</v>
      </c>
      <c r="B11" s="140" t="str">
        <f>'t1'!B11</f>
        <v>0D0A1E</v>
      </c>
      <c r="C11" s="629"/>
      <c r="D11" s="235"/>
      <c r="E11" s="629"/>
      <c r="F11" s="235"/>
      <c r="G11" s="629"/>
      <c r="H11" s="235"/>
      <c r="I11" s="629"/>
      <c r="J11" s="235"/>
      <c r="K11" s="629"/>
      <c r="L11" s="235"/>
      <c r="M11" s="629"/>
      <c r="N11" s="235"/>
      <c r="O11" s="629"/>
      <c r="P11" s="235"/>
      <c r="Q11" s="629"/>
      <c r="R11" s="235"/>
      <c r="S11" s="629"/>
      <c r="T11" s="235"/>
      <c r="U11" s="629"/>
      <c r="V11" s="235"/>
      <c r="W11" s="629"/>
      <c r="X11" s="235"/>
      <c r="Y11" s="629"/>
      <c r="Z11" s="235"/>
      <c r="AA11" s="629"/>
      <c r="AB11" s="235"/>
      <c r="AC11" s="629"/>
      <c r="AD11" s="235"/>
      <c r="AE11" s="629"/>
      <c r="AF11" s="235"/>
      <c r="AG11" s="629"/>
      <c r="AH11" s="235"/>
      <c r="AI11" s="629"/>
      <c r="AJ11" s="235"/>
      <c r="AK11" s="629"/>
      <c r="AL11" s="235"/>
      <c r="AM11" s="629"/>
      <c r="AN11" s="235"/>
      <c r="AO11" s="629"/>
      <c r="AP11" s="235"/>
      <c r="AQ11" s="629"/>
      <c r="AR11" s="235"/>
      <c r="AS11" s="629"/>
      <c r="AT11" s="235"/>
      <c r="AU11" s="449">
        <f t="shared" si="2"/>
        <v>0</v>
      </c>
      <c r="AV11" s="450">
        <f t="shared" si="0"/>
        <v>0</v>
      </c>
      <c r="AW11" s="645" t="str">
        <f t="shared" si="1"/>
        <v>OK</v>
      </c>
      <c r="AX11" s="648">
        <f>'t1'!K11-'t3'!C11-'t3'!E11-'t3'!G11-'t3'!I11+'t3'!K11+'t3'!M11+'t3'!O11</f>
        <v>0</v>
      </c>
      <c r="AY11" s="649">
        <f>'t1'!L11-'t3'!D11-'t3'!F11-'t3'!H11-'t3'!J11+'t3'!L11+'t3'!N11+'t3'!P11</f>
        <v>0</v>
      </c>
      <c r="AZ11" s="5">
        <f>'t1'!M11</f>
        <v>0</v>
      </c>
    </row>
    <row r="12" spans="1:52" ht="12.75" customHeight="1">
      <c r="A12" s="19" t="str">
        <f>'t1'!A12</f>
        <v>PROCURATORE II CLASSE</v>
      </c>
      <c r="B12" s="140" t="str">
        <f>'t1'!B12</f>
        <v>0D0383</v>
      </c>
      <c r="C12" s="629"/>
      <c r="D12" s="235"/>
      <c r="E12" s="629"/>
      <c r="F12" s="235"/>
      <c r="G12" s="629"/>
      <c r="H12" s="235"/>
      <c r="I12" s="629"/>
      <c r="J12" s="235"/>
      <c r="K12" s="629"/>
      <c r="L12" s="235"/>
      <c r="M12" s="629"/>
      <c r="N12" s="235"/>
      <c r="O12" s="629"/>
      <c r="P12" s="235"/>
      <c r="Q12" s="629"/>
      <c r="R12" s="235"/>
      <c r="S12" s="629"/>
      <c r="T12" s="235"/>
      <c r="U12" s="629"/>
      <c r="V12" s="235"/>
      <c r="W12" s="629"/>
      <c r="X12" s="235"/>
      <c r="Y12" s="629"/>
      <c r="Z12" s="235"/>
      <c r="AA12" s="629"/>
      <c r="AB12" s="235"/>
      <c r="AC12" s="629"/>
      <c r="AD12" s="235"/>
      <c r="AE12" s="629"/>
      <c r="AF12" s="235"/>
      <c r="AG12" s="629"/>
      <c r="AH12" s="235"/>
      <c r="AI12" s="629"/>
      <c r="AJ12" s="235"/>
      <c r="AK12" s="629"/>
      <c r="AL12" s="235"/>
      <c r="AM12" s="629"/>
      <c r="AN12" s="235"/>
      <c r="AO12" s="629"/>
      <c r="AP12" s="235"/>
      <c r="AQ12" s="629"/>
      <c r="AR12" s="235"/>
      <c r="AS12" s="629"/>
      <c r="AT12" s="235"/>
      <c r="AU12" s="449">
        <f t="shared" si="2"/>
        <v>0</v>
      </c>
      <c r="AV12" s="450">
        <f t="shared" si="0"/>
        <v>0</v>
      </c>
      <c r="AW12" s="645" t="str">
        <f t="shared" si="1"/>
        <v>OK</v>
      </c>
      <c r="AX12" s="648">
        <f>'t1'!K12-'t3'!C12-'t3'!E12-'t3'!G12-'t3'!I12+'t3'!K12+'t3'!M12+'t3'!O12</f>
        <v>0</v>
      </c>
      <c r="AY12" s="649">
        <f>'t1'!L12-'t3'!D12-'t3'!F12-'t3'!H12-'t3'!J12+'t3'!L12+'t3'!N12+'t3'!P12</f>
        <v>0</v>
      </c>
      <c r="AZ12" s="5">
        <f>'t1'!M12</f>
        <v>0</v>
      </c>
    </row>
    <row r="13" spans="1:52" ht="12.75" customHeight="1" thickBot="1">
      <c r="A13" s="19" t="str">
        <f>'t1'!A13</f>
        <v>PROCURATORE I CLASSE</v>
      </c>
      <c r="B13" s="140" t="str">
        <f>'t1'!B13</f>
        <v>0D0382</v>
      </c>
      <c r="C13" s="629"/>
      <c r="D13" s="235"/>
      <c r="E13" s="629"/>
      <c r="F13" s="235"/>
      <c r="G13" s="629"/>
      <c r="H13" s="235"/>
      <c r="I13" s="629"/>
      <c r="J13" s="235"/>
      <c r="K13" s="629"/>
      <c r="L13" s="235"/>
      <c r="M13" s="629"/>
      <c r="N13" s="235"/>
      <c r="O13" s="629"/>
      <c r="P13" s="235"/>
      <c r="Q13" s="629"/>
      <c r="R13" s="235"/>
      <c r="S13" s="629"/>
      <c r="T13" s="235"/>
      <c r="U13" s="629"/>
      <c r="V13" s="235"/>
      <c r="W13" s="629"/>
      <c r="X13" s="235"/>
      <c r="Y13" s="629"/>
      <c r="Z13" s="235"/>
      <c r="AA13" s="629"/>
      <c r="AB13" s="235"/>
      <c r="AC13" s="629"/>
      <c r="AD13" s="235"/>
      <c r="AE13" s="629"/>
      <c r="AF13" s="235"/>
      <c r="AG13" s="629"/>
      <c r="AH13" s="235"/>
      <c r="AI13" s="629"/>
      <c r="AJ13" s="235"/>
      <c r="AK13" s="629"/>
      <c r="AL13" s="235"/>
      <c r="AM13" s="629"/>
      <c r="AN13" s="235"/>
      <c r="AO13" s="629"/>
      <c r="AP13" s="235"/>
      <c r="AQ13" s="629"/>
      <c r="AR13" s="235"/>
      <c r="AS13" s="629"/>
      <c r="AT13" s="235"/>
      <c r="AU13" s="449">
        <f t="shared" si="2"/>
        <v>0</v>
      </c>
      <c r="AV13" s="450">
        <f t="shared" si="0"/>
        <v>0</v>
      </c>
      <c r="AW13" s="645" t="str">
        <f t="shared" si="1"/>
        <v>OK</v>
      </c>
      <c r="AX13" s="648">
        <f>'t1'!K13-'t3'!C13-'t3'!E13-'t3'!G13-'t3'!I13+'t3'!K13+'t3'!M13+'t3'!O13</f>
        <v>0</v>
      </c>
      <c r="AY13" s="649">
        <f>'t1'!L13-'t3'!D13-'t3'!F13-'t3'!H13-'t3'!J13+'t3'!L13+'t3'!N13+'t3'!P13</f>
        <v>0</v>
      </c>
      <c r="AZ13" s="5">
        <f>'t1'!M13</f>
        <v>0</v>
      </c>
    </row>
    <row r="14" spans="1:51" ht="17.25" customHeight="1" thickBot="1" thickTop="1">
      <c r="A14" s="15" t="s">
        <v>58</v>
      </c>
      <c r="B14" s="142"/>
      <c r="C14" s="451">
        <f aca="true" t="shared" si="3" ref="C14:AV14">SUM(C6:C13)</f>
        <v>0</v>
      </c>
      <c r="D14" s="453">
        <f t="shared" si="3"/>
        <v>0</v>
      </c>
      <c r="E14" s="451">
        <f t="shared" si="3"/>
        <v>0</v>
      </c>
      <c r="F14" s="453">
        <f t="shared" si="3"/>
        <v>0</v>
      </c>
      <c r="G14" s="451">
        <f t="shared" si="3"/>
        <v>0</v>
      </c>
      <c r="H14" s="453">
        <f t="shared" si="3"/>
        <v>0</v>
      </c>
      <c r="I14" s="451">
        <f t="shared" si="3"/>
        <v>0</v>
      </c>
      <c r="J14" s="453">
        <f t="shared" si="3"/>
        <v>0</v>
      </c>
      <c r="K14" s="451">
        <f t="shared" si="3"/>
        <v>0</v>
      </c>
      <c r="L14" s="453">
        <f t="shared" si="3"/>
        <v>0</v>
      </c>
      <c r="M14" s="451">
        <f t="shared" si="3"/>
        <v>0</v>
      </c>
      <c r="N14" s="453">
        <f t="shared" si="3"/>
        <v>0</v>
      </c>
      <c r="O14" s="451">
        <f t="shared" si="3"/>
        <v>0</v>
      </c>
      <c r="P14" s="453">
        <f t="shared" si="3"/>
        <v>0</v>
      </c>
      <c r="Q14" s="451">
        <f t="shared" si="3"/>
        <v>0</v>
      </c>
      <c r="R14" s="453">
        <f t="shared" si="3"/>
        <v>0</v>
      </c>
      <c r="S14" s="451">
        <f t="shared" si="3"/>
        <v>0</v>
      </c>
      <c r="T14" s="453">
        <f t="shared" si="3"/>
        <v>0</v>
      </c>
      <c r="U14" s="451">
        <f t="shared" si="3"/>
        <v>0</v>
      </c>
      <c r="V14" s="453">
        <f t="shared" si="3"/>
        <v>0</v>
      </c>
      <c r="W14" s="451">
        <f t="shared" si="3"/>
        <v>0</v>
      </c>
      <c r="X14" s="453">
        <f t="shared" si="3"/>
        <v>0</v>
      </c>
      <c r="Y14" s="451">
        <f t="shared" si="3"/>
        <v>0</v>
      </c>
      <c r="Z14" s="453">
        <f t="shared" si="3"/>
        <v>0</v>
      </c>
      <c r="AA14" s="451">
        <f t="shared" si="3"/>
        <v>0</v>
      </c>
      <c r="AB14" s="453">
        <f t="shared" si="3"/>
        <v>0</v>
      </c>
      <c r="AC14" s="451">
        <f t="shared" si="3"/>
        <v>0</v>
      </c>
      <c r="AD14" s="453">
        <f t="shared" si="3"/>
        <v>0</v>
      </c>
      <c r="AE14" s="451">
        <f t="shared" si="3"/>
        <v>0</v>
      </c>
      <c r="AF14" s="453">
        <f t="shared" si="3"/>
        <v>0</v>
      </c>
      <c r="AG14" s="451">
        <f t="shared" si="3"/>
        <v>0</v>
      </c>
      <c r="AH14" s="453">
        <f t="shared" si="3"/>
        <v>0</v>
      </c>
      <c r="AI14" s="451">
        <f t="shared" si="3"/>
        <v>0</v>
      </c>
      <c r="AJ14" s="453">
        <f t="shared" si="3"/>
        <v>0</v>
      </c>
      <c r="AK14" s="451">
        <f t="shared" si="3"/>
        <v>0</v>
      </c>
      <c r="AL14" s="453">
        <f t="shared" si="3"/>
        <v>0</v>
      </c>
      <c r="AM14" s="451">
        <f t="shared" si="3"/>
        <v>0</v>
      </c>
      <c r="AN14" s="453">
        <f t="shared" si="3"/>
        <v>0</v>
      </c>
      <c r="AO14" s="451">
        <f t="shared" si="3"/>
        <v>0</v>
      </c>
      <c r="AP14" s="453">
        <f t="shared" si="3"/>
        <v>0</v>
      </c>
      <c r="AQ14" s="451">
        <f t="shared" si="3"/>
        <v>0</v>
      </c>
      <c r="AR14" s="453">
        <f t="shared" si="3"/>
        <v>0</v>
      </c>
      <c r="AS14" s="451">
        <f t="shared" si="3"/>
        <v>0</v>
      </c>
      <c r="AT14" s="453">
        <f t="shared" si="3"/>
        <v>0</v>
      </c>
      <c r="AU14" s="451">
        <f t="shared" si="3"/>
        <v>0</v>
      </c>
      <c r="AV14" s="452">
        <f t="shared" si="3"/>
        <v>0</v>
      </c>
      <c r="AW14" s="645" t="str">
        <f>IF((AU50+AV50)=(AX14+AY14),"OK","Controllare totale")</f>
        <v>OK</v>
      </c>
      <c r="AX14" s="650">
        <f>SUM(AX6:AX13)</f>
        <v>0</v>
      </c>
      <c r="AY14" s="651">
        <f>SUM(AY6:AY13)</f>
        <v>0</v>
      </c>
    </row>
    <row r="15" spans="3:27" ht="17.25" customHeight="1">
      <c r="C15" s="21"/>
      <c r="M15" s="9"/>
      <c r="N15" s="9"/>
      <c r="O15" s="9"/>
      <c r="P15" s="9"/>
      <c r="Q15" s="9"/>
      <c r="R15" s="9"/>
      <c r="S15" s="8"/>
      <c r="T15" s="8"/>
      <c r="AA15" s="21"/>
    </row>
    <row r="16" spans="3:27" ht="9.75">
      <c r="C16" s="21"/>
      <c r="AA16" s="21"/>
    </row>
  </sheetData>
  <sheetProtection password="EA98" sheet="1" formatColumns="0" selectLockedCells="1"/>
  <mergeCells count="28">
    <mergeCell ref="A1:A2"/>
    <mergeCell ref="G4:H4"/>
    <mergeCell ref="S2:Z2"/>
    <mergeCell ref="AO2:AV2"/>
    <mergeCell ref="C1:W1"/>
    <mergeCell ref="AA1:AS1"/>
    <mergeCell ref="Y4:Z4"/>
    <mergeCell ref="U4:V4"/>
    <mergeCell ref="S4:T4"/>
    <mergeCell ref="M4:N4"/>
    <mergeCell ref="I4:J4"/>
    <mergeCell ref="E4:F4"/>
    <mergeCell ref="C4:D4"/>
    <mergeCell ref="W4:X4"/>
    <mergeCell ref="AA4:AB4"/>
    <mergeCell ref="AM4:AN4"/>
    <mergeCell ref="AK4:AL4"/>
    <mergeCell ref="AI4:AJ4"/>
    <mergeCell ref="AG4:AH4"/>
    <mergeCell ref="AE4:AF4"/>
    <mergeCell ref="AU4:AV4"/>
    <mergeCell ref="AX4:AY4"/>
    <mergeCell ref="AS4:AT4"/>
    <mergeCell ref="AQ4:AR4"/>
    <mergeCell ref="AO4:AP4"/>
    <mergeCell ref="K4:L4"/>
    <mergeCell ref="Q4:R4"/>
    <mergeCell ref="O4:P4"/>
  </mergeCells>
  <conditionalFormatting sqref="A6:AV13">
    <cfRule type="expression" priority="1" dxfId="4"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AY18"/>
  <sheetViews>
    <sheetView showGridLines="0" zoomScalePageLayoutView="0" workbookViewId="0" topLeftCell="A1">
      <pane xSplit="2" ySplit="7" topLeftCell="AC8" activePane="bottomRight" state="frozen"/>
      <selection pane="topLeft" activeCell="A2" sqref="A2"/>
      <selection pane="topRight" activeCell="A2" sqref="A2"/>
      <selection pane="bottomLeft" activeCell="A2" sqref="A2"/>
      <selection pane="bottomRight" activeCell="AM8" sqref="AM8"/>
    </sheetView>
  </sheetViews>
  <sheetFormatPr defaultColWidth="10.66015625" defaultRowHeight="10.5"/>
  <cols>
    <col min="1" max="1" width="36.66015625" style="26" customWidth="1"/>
    <col min="2" max="2" width="8.83203125" style="30" customWidth="1"/>
    <col min="3" max="6" width="11.33203125" style="26" hidden="1" customWidth="1"/>
    <col min="7" max="10" width="10.33203125" style="26" hidden="1" customWidth="1"/>
    <col min="11" max="14" width="10.66015625" style="26" hidden="1" customWidth="1"/>
    <col min="15" max="16" width="0" style="26" hidden="1" customWidth="1"/>
    <col min="17" max="22" width="9.33203125" style="26" hidden="1" customWidth="1"/>
    <col min="23" max="26" width="10.66015625" style="26" hidden="1" customWidth="1"/>
    <col min="27" max="30" width="11.33203125" style="26" customWidth="1"/>
    <col min="31" max="34" width="10.33203125" style="26" customWidth="1"/>
    <col min="35" max="40" width="10.66015625" style="26" customWidth="1"/>
    <col min="41" max="46" width="9.33203125" style="26" customWidth="1"/>
    <col min="47" max="48" width="10.66015625" style="26" customWidth="1"/>
    <col min="49" max="49" width="0" style="26" hidden="1" customWidth="1"/>
    <col min="50" max="16384" width="10.66015625" style="26" customWidth="1"/>
  </cols>
  <sheetData>
    <row r="1" spans="1:51" s="5" customFormat="1" ht="43.5" customHeight="1">
      <c r="A1" s="882" t="str">
        <f>'t1'!A1</f>
        <v>AVVOCATURA DI STATO - anno 2021</v>
      </c>
      <c r="B1" s="882"/>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2"/>
      <c r="AL1" s="882"/>
      <c r="AM1" s="882"/>
      <c r="AN1" s="882"/>
      <c r="AO1" s="882"/>
      <c r="AP1" s="882"/>
      <c r="AQ1" s="882"/>
      <c r="AR1" s="882"/>
      <c r="AS1" s="882"/>
      <c r="AT1" s="882"/>
      <c r="AU1" s="882"/>
      <c r="AV1" s="882"/>
      <c r="AW1" s="26"/>
      <c r="AX1" s="26"/>
      <c r="AY1" s="26"/>
    </row>
    <row r="2" spans="1:34" ht="30" customHeight="1" thickBot="1">
      <c r="A2" s="23"/>
      <c r="B2" s="24"/>
      <c r="C2" s="25"/>
      <c r="D2" s="25"/>
      <c r="E2" s="25"/>
      <c r="F2" s="25"/>
      <c r="G2" s="883"/>
      <c r="H2" s="883"/>
      <c r="I2" s="883"/>
      <c r="J2" s="883"/>
      <c r="AA2" s="25"/>
      <c r="AB2" s="25"/>
      <c r="AC2" s="25"/>
      <c r="AD2" s="25"/>
      <c r="AE2" s="883"/>
      <c r="AF2" s="883"/>
      <c r="AG2" s="883"/>
      <c r="AH2" s="883"/>
    </row>
    <row r="3" spans="1:48" ht="15.75" customHeight="1" thickBot="1">
      <c r="A3" s="278"/>
      <c r="B3" s="283"/>
      <c r="C3" s="284" t="s">
        <v>227</v>
      </c>
      <c r="D3" s="284"/>
      <c r="E3" s="284"/>
      <c r="F3" s="284"/>
      <c r="G3" s="284"/>
      <c r="H3" s="285"/>
      <c r="I3" s="284"/>
      <c r="J3" s="285"/>
      <c r="K3" s="285"/>
      <c r="L3" s="285"/>
      <c r="M3" s="285"/>
      <c r="N3" s="285"/>
      <c r="O3" s="823"/>
      <c r="P3" s="823"/>
      <c r="Q3" s="285"/>
      <c r="R3" s="285"/>
      <c r="S3" s="285"/>
      <c r="T3" s="285"/>
      <c r="U3" s="285"/>
      <c r="V3" s="285"/>
      <c r="W3" s="285"/>
      <c r="X3" s="285"/>
      <c r="AA3" s="284" t="s">
        <v>227</v>
      </c>
      <c r="AB3" s="284"/>
      <c r="AC3" s="284"/>
      <c r="AD3" s="284"/>
      <c r="AE3" s="284"/>
      <c r="AF3" s="285"/>
      <c r="AG3" s="284"/>
      <c r="AH3" s="285"/>
      <c r="AI3" s="285"/>
      <c r="AJ3" s="285"/>
      <c r="AK3" s="285"/>
      <c r="AL3" s="285"/>
      <c r="AM3" s="823"/>
      <c r="AN3" s="823"/>
      <c r="AO3" s="285"/>
      <c r="AP3" s="285"/>
      <c r="AQ3" s="285"/>
      <c r="AR3" s="285"/>
      <c r="AS3" s="285"/>
      <c r="AT3" s="285"/>
      <c r="AU3" s="285"/>
      <c r="AV3" s="285"/>
    </row>
    <row r="4" spans="1:48" ht="37.5" customHeight="1" thickTop="1">
      <c r="A4" s="27" t="s">
        <v>122</v>
      </c>
      <c r="B4" s="28" t="s">
        <v>55</v>
      </c>
      <c r="C4" s="472" t="s">
        <v>60</v>
      </c>
      <c r="D4" s="473"/>
      <c r="E4" s="938" t="s">
        <v>326</v>
      </c>
      <c r="F4" s="939"/>
      <c r="G4" s="941" t="s">
        <v>351</v>
      </c>
      <c r="H4" s="911"/>
      <c r="I4" s="941" t="s">
        <v>325</v>
      </c>
      <c r="J4" s="911"/>
      <c r="K4" s="933" t="s">
        <v>324</v>
      </c>
      <c r="L4" s="911"/>
      <c r="M4" s="940" t="s">
        <v>323</v>
      </c>
      <c r="N4" s="911"/>
      <c r="O4" s="933" t="s">
        <v>526</v>
      </c>
      <c r="P4" s="911"/>
      <c r="Q4" s="940" t="s">
        <v>302</v>
      </c>
      <c r="R4" s="911"/>
      <c r="S4" s="940" t="s">
        <v>165</v>
      </c>
      <c r="T4" s="911"/>
      <c r="U4" s="940" t="s">
        <v>53</v>
      </c>
      <c r="V4" s="911"/>
      <c r="W4" s="386" t="s">
        <v>58</v>
      </c>
      <c r="X4" s="385"/>
      <c r="AA4" s="472" t="s">
        <v>60</v>
      </c>
      <c r="AB4" s="473"/>
      <c r="AC4" s="938" t="s">
        <v>326</v>
      </c>
      <c r="AD4" s="939"/>
      <c r="AE4" s="941" t="s">
        <v>351</v>
      </c>
      <c r="AF4" s="911"/>
      <c r="AG4" s="941" t="s">
        <v>325</v>
      </c>
      <c r="AH4" s="911"/>
      <c r="AI4" s="933" t="s">
        <v>324</v>
      </c>
      <c r="AJ4" s="911"/>
      <c r="AK4" s="940" t="s">
        <v>323</v>
      </c>
      <c r="AL4" s="911"/>
      <c r="AM4" s="933" t="s">
        <v>526</v>
      </c>
      <c r="AN4" s="911"/>
      <c r="AO4" s="940" t="s">
        <v>302</v>
      </c>
      <c r="AP4" s="911"/>
      <c r="AQ4" s="940" t="s">
        <v>165</v>
      </c>
      <c r="AR4" s="911"/>
      <c r="AS4" s="940" t="s">
        <v>53</v>
      </c>
      <c r="AT4" s="911"/>
      <c r="AU4" s="386" t="s">
        <v>58</v>
      </c>
      <c r="AV4" s="385"/>
    </row>
    <row r="5" spans="1:48" ht="9.75">
      <c r="A5" s="27"/>
      <c r="B5" s="28"/>
      <c r="C5" s="936" t="s">
        <v>261</v>
      </c>
      <c r="D5" s="937"/>
      <c r="E5" s="936" t="s">
        <v>327</v>
      </c>
      <c r="F5" s="937"/>
      <c r="G5" s="936" t="s">
        <v>350</v>
      </c>
      <c r="H5" s="937"/>
      <c r="I5" s="936" t="s">
        <v>328</v>
      </c>
      <c r="J5" s="937"/>
      <c r="K5" s="936" t="s">
        <v>329</v>
      </c>
      <c r="L5" s="937"/>
      <c r="M5" s="934" t="s">
        <v>330</v>
      </c>
      <c r="N5" s="935"/>
      <c r="O5" s="934" t="s">
        <v>527</v>
      </c>
      <c r="P5" s="935"/>
      <c r="Q5" s="934" t="s">
        <v>262</v>
      </c>
      <c r="R5" s="935"/>
      <c r="S5" s="934" t="s">
        <v>263</v>
      </c>
      <c r="T5" s="935"/>
      <c r="U5" s="934" t="s">
        <v>278</v>
      </c>
      <c r="V5" s="935"/>
      <c r="W5" s="387"/>
      <c r="X5" s="457"/>
      <c r="AA5" s="936" t="s">
        <v>261</v>
      </c>
      <c r="AB5" s="937"/>
      <c r="AC5" s="936" t="s">
        <v>327</v>
      </c>
      <c r="AD5" s="937"/>
      <c r="AE5" s="936" t="s">
        <v>350</v>
      </c>
      <c r="AF5" s="937"/>
      <c r="AG5" s="936" t="s">
        <v>328</v>
      </c>
      <c r="AH5" s="937"/>
      <c r="AI5" s="936" t="s">
        <v>329</v>
      </c>
      <c r="AJ5" s="937"/>
      <c r="AK5" s="934" t="s">
        <v>330</v>
      </c>
      <c r="AL5" s="935"/>
      <c r="AM5" s="934" t="s">
        <v>527</v>
      </c>
      <c r="AN5" s="935"/>
      <c r="AO5" s="934" t="s">
        <v>262</v>
      </c>
      <c r="AP5" s="935"/>
      <c r="AQ5" s="934" t="s">
        <v>263</v>
      </c>
      <c r="AR5" s="935"/>
      <c r="AS5" s="934" t="s">
        <v>278</v>
      </c>
      <c r="AT5" s="935"/>
      <c r="AU5" s="387"/>
      <c r="AV5" s="457"/>
    </row>
    <row r="6" spans="1:48" ht="12" customHeight="1">
      <c r="A6" s="27"/>
      <c r="B6" s="28"/>
      <c r="C6" s="260" t="s">
        <v>56</v>
      </c>
      <c r="D6" s="388" t="s">
        <v>57</v>
      </c>
      <c r="E6" s="260" t="s">
        <v>56</v>
      </c>
      <c r="F6" s="388" t="s">
        <v>57</v>
      </c>
      <c r="G6" s="260" t="s">
        <v>56</v>
      </c>
      <c r="H6" s="388" t="s">
        <v>57</v>
      </c>
      <c r="I6" s="260" t="s">
        <v>56</v>
      </c>
      <c r="J6" s="388" t="s">
        <v>57</v>
      </c>
      <c r="K6" s="260" t="s">
        <v>56</v>
      </c>
      <c r="L6" s="388" t="s">
        <v>57</v>
      </c>
      <c r="M6" s="260" t="s">
        <v>56</v>
      </c>
      <c r="N6" s="388" t="s">
        <v>57</v>
      </c>
      <c r="O6" s="260" t="s">
        <v>56</v>
      </c>
      <c r="P6" s="824" t="s">
        <v>57</v>
      </c>
      <c r="Q6" s="260" t="s">
        <v>56</v>
      </c>
      <c r="R6" s="553" t="s">
        <v>57</v>
      </c>
      <c r="S6" s="260" t="s">
        <v>56</v>
      </c>
      <c r="T6" s="553" t="s">
        <v>57</v>
      </c>
      <c r="U6" s="260" t="s">
        <v>56</v>
      </c>
      <c r="V6" s="549" t="s">
        <v>57</v>
      </c>
      <c r="W6" s="260" t="s">
        <v>56</v>
      </c>
      <c r="X6" s="388" t="s">
        <v>57</v>
      </c>
      <c r="AA6" s="260" t="s">
        <v>56</v>
      </c>
      <c r="AB6" s="388" t="s">
        <v>57</v>
      </c>
      <c r="AC6" s="260" t="s">
        <v>56</v>
      </c>
      <c r="AD6" s="388" t="s">
        <v>57</v>
      </c>
      <c r="AE6" s="260" t="s">
        <v>56</v>
      </c>
      <c r="AF6" s="388" t="s">
        <v>57</v>
      </c>
      <c r="AG6" s="260" t="s">
        <v>56</v>
      </c>
      <c r="AH6" s="388" t="s">
        <v>57</v>
      </c>
      <c r="AI6" s="260" t="s">
        <v>56</v>
      </c>
      <c r="AJ6" s="388" t="s">
        <v>57</v>
      </c>
      <c r="AK6" s="260" t="s">
        <v>56</v>
      </c>
      <c r="AL6" s="388" t="s">
        <v>57</v>
      </c>
      <c r="AM6" s="260" t="s">
        <v>56</v>
      </c>
      <c r="AN6" s="824" t="s">
        <v>57</v>
      </c>
      <c r="AO6" s="260" t="s">
        <v>56</v>
      </c>
      <c r="AP6" s="553" t="s">
        <v>57</v>
      </c>
      <c r="AQ6" s="260" t="s">
        <v>56</v>
      </c>
      <c r="AR6" s="553" t="s">
        <v>57</v>
      </c>
      <c r="AS6" s="260" t="s">
        <v>56</v>
      </c>
      <c r="AT6" s="549" t="s">
        <v>57</v>
      </c>
      <c r="AU6" s="260" t="s">
        <v>56</v>
      </c>
      <c r="AV6" s="388" t="s">
        <v>57</v>
      </c>
    </row>
    <row r="7" spans="1:48" s="272" customFormat="1" ht="8.25" thickBot="1">
      <c r="A7" s="733" t="s">
        <v>478</v>
      </c>
      <c r="B7" s="464"/>
      <c r="C7" s="270" t="s">
        <v>61</v>
      </c>
      <c r="D7" s="271" t="s">
        <v>61</v>
      </c>
      <c r="E7" s="270" t="s">
        <v>61</v>
      </c>
      <c r="F7" s="271" t="s">
        <v>61</v>
      </c>
      <c r="G7" s="270" t="s">
        <v>61</v>
      </c>
      <c r="H7" s="271" t="s">
        <v>61</v>
      </c>
      <c r="I7" s="270" t="s">
        <v>61</v>
      </c>
      <c r="J7" s="271" t="s">
        <v>61</v>
      </c>
      <c r="K7" s="270" t="s">
        <v>61</v>
      </c>
      <c r="L7" s="271" t="s">
        <v>61</v>
      </c>
      <c r="M7" s="270" t="s">
        <v>61</v>
      </c>
      <c r="N7" s="271" t="s">
        <v>61</v>
      </c>
      <c r="O7" s="825" t="s">
        <v>61</v>
      </c>
      <c r="P7" s="826" t="s">
        <v>61</v>
      </c>
      <c r="Q7" s="270" t="s">
        <v>61</v>
      </c>
      <c r="R7" s="554" t="s">
        <v>61</v>
      </c>
      <c r="S7" s="270" t="s">
        <v>61</v>
      </c>
      <c r="T7" s="554" t="s">
        <v>61</v>
      </c>
      <c r="U7" s="270" t="s">
        <v>61</v>
      </c>
      <c r="V7" s="554" t="s">
        <v>61</v>
      </c>
      <c r="W7" s="559" t="s">
        <v>61</v>
      </c>
      <c r="X7" s="513" t="s">
        <v>61</v>
      </c>
      <c r="AA7" s="270" t="s">
        <v>61</v>
      </c>
      <c r="AB7" s="271" t="s">
        <v>61</v>
      </c>
      <c r="AC7" s="270" t="s">
        <v>61</v>
      </c>
      <c r="AD7" s="271" t="s">
        <v>61</v>
      </c>
      <c r="AE7" s="270" t="s">
        <v>61</v>
      </c>
      <c r="AF7" s="271" t="s">
        <v>61</v>
      </c>
      <c r="AG7" s="270" t="s">
        <v>61</v>
      </c>
      <c r="AH7" s="271" t="s">
        <v>61</v>
      </c>
      <c r="AI7" s="270" t="s">
        <v>61</v>
      </c>
      <c r="AJ7" s="271" t="s">
        <v>61</v>
      </c>
      <c r="AK7" s="270" t="s">
        <v>61</v>
      </c>
      <c r="AL7" s="271" t="s">
        <v>61</v>
      </c>
      <c r="AM7" s="825" t="s">
        <v>61</v>
      </c>
      <c r="AN7" s="826" t="s">
        <v>61</v>
      </c>
      <c r="AO7" s="270" t="s">
        <v>61</v>
      </c>
      <c r="AP7" s="554" t="s">
        <v>61</v>
      </c>
      <c r="AQ7" s="270" t="s">
        <v>61</v>
      </c>
      <c r="AR7" s="554" t="s">
        <v>61</v>
      </c>
      <c r="AS7" s="270" t="s">
        <v>61</v>
      </c>
      <c r="AT7" s="554" t="s">
        <v>61</v>
      </c>
      <c r="AU7" s="559" t="s">
        <v>61</v>
      </c>
      <c r="AV7" s="513" t="s">
        <v>61</v>
      </c>
    </row>
    <row r="8" spans="1:49" ht="12.75" customHeight="1" thickTop="1">
      <c r="A8" s="20" t="str">
        <f>'t1'!A6</f>
        <v>AVVOCATO GENERALE</v>
      </c>
      <c r="B8" s="217" t="str">
        <f>'t1'!B6</f>
        <v>0D0381</v>
      </c>
      <c r="C8" s="560">
        <f aca="true" t="shared" si="0" ref="C8:C15">ROUND(AA8,0)</f>
        <v>0</v>
      </c>
      <c r="D8" s="561">
        <f aca="true" t="shared" si="1" ref="D8:D15">ROUND(AB8,0)</f>
        <v>0</v>
      </c>
      <c r="E8" s="560">
        <f aca="true" t="shared" si="2" ref="E8:E15">ROUND(AC8,0)</f>
        <v>0</v>
      </c>
      <c r="F8" s="561">
        <f aca="true" t="shared" si="3" ref="F8:F15">ROUND(AD8,0)</f>
        <v>0</v>
      </c>
      <c r="G8" s="560">
        <f aca="true" t="shared" si="4" ref="G8:G15">ROUND(AE8,0)</f>
        <v>0</v>
      </c>
      <c r="H8" s="561">
        <f aca="true" t="shared" si="5" ref="H8:H15">ROUND(AF8,0)</f>
        <v>0</v>
      </c>
      <c r="I8" s="560">
        <f aca="true" t="shared" si="6" ref="I8:I15">ROUND(AG8,0)</f>
        <v>0</v>
      </c>
      <c r="J8" s="561">
        <f aca="true" t="shared" si="7" ref="J8:J15">ROUND(AH8,0)</f>
        <v>0</v>
      </c>
      <c r="K8" s="560">
        <f aca="true" t="shared" si="8" ref="K8:K15">ROUND(AI8,0)</f>
        <v>0</v>
      </c>
      <c r="L8" s="561">
        <f aca="true" t="shared" si="9" ref="L8:L15">ROUND(AJ8,0)</f>
        <v>0</v>
      </c>
      <c r="M8" s="560">
        <f aca="true" t="shared" si="10" ref="M8:M15">ROUND(AK8,0)</f>
        <v>0</v>
      </c>
      <c r="N8" s="561">
        <f aca="true" t="shared" si="11" ref="N8:N15">ROUND(AL8,0)</f>
        <v>0</v>
      </c>
      <c r="O8" s="560">
        <f aca="true" t="shared" si="12" ref="O8:O15">ROUND(AM8,0)</f>
        <v>0</v>
      </c>
      <c r="P8" s="561">
        <f aca="true" t="shared" si="13" ref="P8:P15">ROUND(AN8,0)</f>
        <v>0</v>
      </c>
      <c r="Q8" s="560">
        <f aca="true" t="shared" si="14" ref="Q8:Q15">ROUND(AO8,0)</f>
        <v>0</v>
      </c>
      <c r="R8" s="561">
        <f aca="true" t="shared" si="15" ref="R8:R15">ROUND(AP8,0)</f>
        <v>0</v>
      </c>
      <c r="S8" s="560">
        <f aca="true" t="shared" si="16" ref="S8:S15">ROUND(AQ8,0)</f>
        <v>0</v>
      </c>
      <c r="T8" s="561">
        <f aca="true" t="shared" si="17" ref="T8:T15">ROUND(AR8,0)</f>
        <v>0</v>
      </c>
      <c r="U8" s="560">
        <f aca="true" t="shared" si="18" ref="U8:U15">ROUND(AS8,0)</f>
        <v>0</v>
      </c>
      <c r="V8" s="561">
        <f aca="true" t="shared" si="19" ref="V8:W15">ROUND(AT8,0)</f>
        <v>0</v>
      </c>
      <c r="W8" s="560">
        <f t="shared" si="19"/>
        <v>0</v>
      </c>
      <c r="X8" s="561">
        <f aca="true" t="shared" si="20" ref="X8:X15">ROUND(AV8,0)</f>
        <v>0</v>
      </c>
      <c r="Y8" s="26">
        <f>'t1'!M6</f>
        <v>0</v>
      </c>
      <c r="AA8" s="256"/>
      <c r="AB8" s="257"/>
      <c r="AC8" s="256"/>
      <c r="AD8" s="257"/>
      <c r="AE8" s="256"/>
      <c r="AF8" s="257"/>
      <c r="AG8" s="256"/>
      <c r="AH8" s="257"/>
      <c r="AI8" s="256"/>
      <c r="AJ8" s="257"/>
      <c r="AK8" s="256"/>
      <c r="AL8" s="257"/>
      <c r="AM8" s="256"/>
      <c r="AN8" s="257"/>
      <c r="AO8" s="558"/>
      <c r="AP8" s="555"/>
      <c r="AQ8" s="558"/>
      <c r="AR8" s="555"/>
      <c r="AS8" s="558"/>
      <c r="AT8" s="550"/>
      <c r="AU8" s="560">
        <f>SUM(AA8,AC8,AE8,AG8,AI8,AK8,AM8,AO8,AQ8,AS8)</f>
        <v>0</v>
      </c>
      <c r="AV8" s="561">
        <f aca="true" t="shared" si="21" ref="AV8:AV15">SUM(AB8,AD8,AF8,AH8,AJ8,AL8,AN8,AP8,AR8,AT8)</f>
        <v>0</v>
      </c>
      <c r="AW8" s="26">
        <f>'t1'!AR6</f>
        <v>0</v>
      </c>
    </row>
    <row r="9" spans="1:49" ht="12.75" customHeight="1">
      <c r="A9" s="141" t="str">
        <f>'t1'!A7</f>
        <v>AVVOCATO GENERALE AGGIUNTO</v>
      </c>
      <c r="B9" s="210" t="str">
        <f>'t1'!B7</f>
        <v>0D0845</v>
      </c>
      <c r="C9" s="512">
        <f t="shared" si="0"/>
        <v>0</v>
      </c>
      <c r="D9" s="514">
        <f t="shared" si="1"/>
        <v>0</v>
      </c>
      <c r="E9" s="512">
        <f t="shared" si="2"/>
        <v>0</v>
      </c>
      <c r="F9" s="514">
        <f t="shared" si="3"/>
        <v>0</v>
      </c>
      <c r="G9" s="512">
        <f t="shared" si="4"/>
        <v>0</v>
      </c>
      <c r="H9" s="514">
        <f t="shared" si="5"/>
        <v>0</v>
      </c>
      <c r="I9" s="512">
        <f t="shared" si="6"/>
        <v>0</v>
      </c>
      <c r="J9" s="514">
        <f t="shared" si="7"/>
        <v>0</v>
      </c>
      <c r="K9" s="512">
        <f t="shared" si="8"/>
        <v>0</v>
      </c>
      <c r="L9" s="514">
        <f t="shared" si="9"/>
        <v>0</v>
      </c>
      <c r="M9" s="512">
        <f t="shared" si="10"/>
        <v>0</v>
      </c>
      <c r="N9" s="514">
        <f t="shared" si="11"/>
        <v>0</v>
      </c>
      <c r="O9" s="512">
        <f t="shared" si="12"/>
        <v>0</v>
      </c>
      <c r="P9" s="514">
        <f t="shared" si="13"/>
        <v>0</v>
      </c>
      <c r="Q9" s="512">
        <f t="shared" si="14"/>
        <v>0</v>
      </c>
      <c r="R9" s="514">
        <f t="shared" si="15"/>
        <v>0</v>
      </c>
      <c r="S9" s="512">
        <f t="shared" si="16"/>
        <v>0</v>
      </c>
      <c r="T9" s="514">
        <f t="shared" si="17"/>
        <v>0</v>
      </c>
      <c r="U9" s="512">
        <f t="shared" si="18"/>
        <v>0</v>
      </c>
      <c r="V9" s="514">
        <f t="shared" si="19"/>
        <v>0</v>
      </c>
      <c r="W9" s="512">
        <f t="shared" si="19"/>
        <v>0</v>
      </c>
      <c r="X9" s="514">
        <f t="shared" si="20"/>
        <v>0</v>
      </c>
      <c r="Y9" s="26">
        <f>'t1'!M7</f>
        <v>0</v>
      </c>
      <c r="AA9" s="258"/>
      <c r="AB9" s="259"/>
      <c r="AC9" s="258"/>
      <c r="AD9" s="259"/>
      <c r="AE9" s="258"/>
      <c r="AF9" s="259"/>
      <c r="AG9" s="258"/>
      <c r="AH9" s="259"/>
      <c r="AI9" s="258"/>
      <c r="AJ9" s="259"/>
      <c r="AK9" s="258"/>
      <c r="AL9" s="259"/>
      <c r="AM9" s="258"/>
      <c r="AN9" s="259"/>
      <c r="AO9" s="258"/>
      <c r="AP9" s="556"/>
      <c r="AQ9" s="258"/>
      <c r="AR9" s="556"/>
      <c r="AS9" s="258"/>
      <c r="AT9" s="551"/>
      <c r="AU9" s="512">
        <f aca="true" t="shared" si="22" ref="AU9:AU15">SUM(AA9,AC9,AE9,AG9,AI9,AK9,AM9,AO9,AQ9,AS9)</f>
        <v>0</v>
      </c>
      <c r="AV9" s="514">
        <f t="shared" si="21"/>
        <v>0</v>
      </c>
      <c r="AW9" s="26">
        <f>'t1'!AR7</f>
        <v>0</v>
      </c>
    </row>
    <row r="10" spans="1:49" ht="12.75" customHeight="1">
      <c r="A10" s="141" t="str">
        <f>'t1'!A8</f>
        <v>AVVOCATO IV CLASSE</v>
      </c>
      <c r="B10" s="210" t="str">
        <f>'t1'!B8</f>
        <v>0D0380</v>
      </c>
      <c r="C10" s="512">
        <f t="shared" si="0"/>
        <v>0</v>
      </c>
      <c r="D10" s="514">
        <f t="shared" si="1"/>
        <v>0</v>
      </c>
      <c r="E10" s="512">
        <f t="shared" si="2"/>
        <v>0</v>
      </c>
      <c r="F10" s="514">
        <f t="shared" si="3"/>
        <v>0</v>
      </c>
      <c r="G10" s="512">
        <f t="shared" si="4"/>
        <v>0</v>
      </c>
      <c r="H10" s="514">
        <f t="shared" si="5"/>
        <v>0</v>
      </c>
      <c r="I10" s="512">
        <f t="shared" si="6"/>
        <v>0</v>
      </c>
      <c r="J10" s="514">
        <f t="shared" si="7"/>
        <v>0</v>
      </c>
      <c r="K10" s="512">
        <f t="shared" si="8"/>
        <v>0</v>
      </c>
      <c r="L10" s="514">
        <f t="shared" si="9"/>
        <v>0</v>
      </c>
      <c r="M10" s="512">
        <f t="shared" si="10"/>
        <v>0</v>
      </c>
      <c r="N10" s="514">
        <f t="shared" si="11"/>
        <v>0</v>
      </c>
      <c r="O10" s="512">
        <f t="shared" si="12"/>
        <v>0</v>
      </c>
      <c r="P10" s="514">
        <f t="shared" si="13"/>
        <v>0</v>
      </c>
      <c r="Q10" s="512">
        <f t="shared" si="14"/>
        <v>0</v>
      </c>
      <c r="R10" s="514">
        <f t="shared" si="15"/>
        <v>0</v>
      </c>
      <c r="S10" s="512">
        <f t="shared" si="16"/>
        <v>0</v>
      </c>
      <c r="T10" s="514">
        <f t="shared" si="17"/>
        <v>0</v>
      </c>
      <c r="U10" s="512">
        <f t="shared" si="18"/>
        <v>0</v>
      </c>
      <c r="V10" s="514">
        <f t="shared" si="19"/>
        <v>0</v>
      </c>
      <c r="W10" s="512">
        <f t="shared" si="19"/>
        <v>0</v>
      </c>
      <c r="X10" s="514">
        <f t="shared" si="20"/>
        <v>0</v>
      </c>
      <c r="Y10" s="26">
        <f>'t1'!M8</f>
        <v>0</v>
      </c>
      <c r="AA10" s="258"/>
      <c r="AB10" s="259"/>
      <c r="AC10" s="258"/>
      <c r="AD10" s="259"/>
      <c r="AE10" s="258"/>
      <c r="AF10" s="259"/>
      <c r="AG10" s="258"/>
      <c r="AH10" s="259"/>
      <c r="AI10" s="258"/>
      <c r="AJ10" s="259"/>
      <c r="AK10" s="258"/>
      <c r="AL10" s="259"/>
      <c r="AM10" s="258"/>
      <c r="AN10" s="259"/>
      <c r="AO10" s="258"/>
      <c r="AP10" s="556"/>
      <c r="AQ10" s="258"/>
      <c r="AR10" s="556"/>
      <c r="AS10" s="258"/>
      <c r="AT10" s="551"/>
      <c r="AU10" s="512">
        <f t="shared" si="22"/>
        <v>0</v>
      </c>
      <c r="AV10" s="514">
        <f t="shared" si="21"/>
        <v>0</v>
      </c>
      <c r="AW10" s="26">
        <f>'t1'!AR8</f>
        <v>0</v>
      </c>
    </row>
    <row r="11" spans="1:49" ht="12.75" customHeight="1">
      <c r="A11" s="141" t="str">
        <f>'t1'!A9</f>
        <v>AVVOCATO III CLASSE</v>
      </c>
      <c r="B11" s="210" t="str">
        <f>'t1'!B9</f>
        <v>0D0379</v>
      </c>
      <c r="C11" s="512">
        <f t="shared" si="0"/>
        <v>0</v>
      </c>
      <c r="D11" s="514">
        <f t="shared" si="1"/>
        <v>0</v>
      </c>
      <c r="E11" s="512">
        <f t="shared" si="2"/>
        <v>0</v>
      </c>
      <c r="F11" s="514">
        <f t="shared" si="3"/>
        <v>0</v>
      </c>
      <c r="G11" s="512">
        <f t="shared" si="4"/>
        <v>0</v>
      </c>
      <c r="H11" s="514">
        <f t="shared" si="5"/>
        <v>0</v>
      </c>
      <c r="I11" s="512">
        <f t="shared" si="6"/>
        <v>0</v>
      </c>
      <c r="J11" s="514">
        <f t="shared" si="7"/>
        <v>0</v>
      </c>
      <c r="K11" s="512">
        <f t="shared" si="8"/>
        <v>0</v>
      </c>
      <c r="L11" s="514">
        <f t="shared" si="9"/>
        <v>0</v>
      </c>
      <c r="M11" s="512">
        <f t="shared" si="10"/>
        <v>0</v>
      </c>
      <c r="N11" s="514">
        <f t="shared" si="11"/>
        <v>0</v>
      </c>
      <c r="O11" s="512">
        <f t="shared" si="12"/>
        <v>0</v>
      </c>
      <c r="P11" s="514">
        <f t="shared" si="13"/>
        <v>0</v>
      </c>
      <c r="Q11" s="512">
        <f t="shared" si="14"/>
        <v>0</v>
      </c>
      <c r="R11" s="514">
        <f t="shared" si="15"/>
        <v>0</v>
      </c>
      <c r="S11" s="512">
        <f t="shared" si="16"/>
        <v>0</v>
      </c>
      <c r="T11" s="514">
        <f t="shared" si="17"/>
        <v>0</v>
      </c>
      <c r="U11" s="512">
        <f t="shared" si="18"/>
        <v>0</v>
      </c>
      <c r="V11" s="514">
        <f t="shared" si="19"/>
        <v>0</v>
      </c>
      <c r="W11" s="512">
        <f t="shared" si="19"/>
        <v>0</v>
      </c>
      <c r="X11" s="514">
        <f t="shared" si="20"/>
        <v>0</v>
      </c>
      <c r="Y11" s="26">
        <f>'t1'!M9</f>
        <v>0</v>
      </c>
      <c r="AA11" s="258"/>
      <c r="AB11" s="259"/>
      <c r="AC11" s="258"/>
      <c r="AD11" s="259"/>
      <c r="AE11" s="258"/>
      <c r="AF11" s="259"/>
      <c r="AG11" s="258"/>
      <c r="AH11" s="259"/>
      <c r="AI11" s="258"/>
      <c r="AJ11" s="259"/>
      <c r="AK11" s="258"/>
      <c r="AL11" s="259"/>
      <c r="AM11" s="258"/>
      <c r="AN11" s="259"/>
      <c r="AO11" s="258"/>
      <c r="AP11" s="556"/>
      <c r="AQ11" s="258"/>
      <c r="AR11" s="556"/>
      <c r="AS11" s="258"/>
      <c r="AT11" s="551"/>
      <c r="AU11" s="512">
        <f t="shared" si="22"/>
        <v>0</v>
      </c>
      <c r="AV11" s="514">
        <f t="shared" si="21"/>
        <v>0</v>
      </c>
      <c r="AW11" s="26">
        <f>'t1'!AR9</f>
        <v>0</v>
      </c>
    </row>
    <row r="12" spans="1:49" ht="12.75" customHeight="1">
      <c r="A12" s="141" t="str">
        <f>'t1'!A10</f>
        <v>AVVOCATO II CLASSE ED EQUIP.</v>
      </c>
      <c r="B12" s="210" t="str">
        <f>'t1'!B10</f>
        <v>0D0A2E</v>
      </c>
      <c r="C12" s="512">
        <f t="shared" si="0"/>
        <v>0</v>
      </c>
      <c r="D12" s="514">
        <f t="shared" si="1"/>
        <v>0</v>
      </c>
      <c r="E12" s="512">
        <f t="shared" si="2"/>
        <v>0</v>
      </c>
      <c r="F12" s="514">
        <f t="shared" si="3"/>
        <v>0</v>
      </c>
      <c r="G12" s="512">
        <f t="shared" si="4"/>
        <v>0</v>
      </c>
      <c r="H12" s="514">
        <f t="shared" si="5"/>
        <v>0</v>
      </c>
      <c r="I12" s="512">
        <f t="shared" si="6"/>
        <v>0</v>
      </c>
      <c r="J12" s="514">
        <f t="shared" si="7"/>
        <v>0</v>
      </c>
      <c r="K12" s="512">
        <f t="shared" si="8"/>
        <v>0</v>
      </c>
      <c r="L12" s="514">
        <f t="shared" si="9"/>
        <v>0</v>
      </c>
      <c r="M12" s="512">
        <f t="shared" si="10"/>
        <v>0</v>
      </c>
      <c r="N12" s="514">
        <f t="shared" si="11"/>
        <v>0</v>
      </c>
      <c r="O12" s="512">
        <f t="shared" si="12"/>
        <v>0</v>
      </c>
      <c r="P12" s="514">
        <f t="shared" si="13"/>
        <v>0</v>
      </c>
      <c r="Q12" s="512">
        <f t="shared" si="14"/>
        <v>0</v>
      </c>
      <c r="R12" s="514">
        <f t="shared" si="15"/>
        <v>0</v>
      </c>
      <c r="S12" s="512">
        <f t="shared" si="16"/>
        <v>0</v>
      </c>
      <c r="T12" s="514">
        <f t="shared" si="17"/>
        <v>0</v>
      </c>
      <c r="U12" s="512">
        <f t="shared" si="18"/>
        <v>0</v>
      </c>
      <c r="V12" s="514">
        <f t="shared" si="19"/>
        <v>0</v>
      </c>
      <c r="W12" s="512">
        <f t="shared" si="19"/>
        <v>0</v>
      </c>
      <c r="X12" s="514">
        <f t="shared" si="20"/>
        <v>0</v>
      </c>
      <c r="Y12" s="26">
        <f>'t1'!M10</f>
        <v>0</v>
      </c>
      <c r="AA12" s="258"/>
      <c r="AB12" s="259"/>
      <c r="AC12" s="258"/>
      <c r="AD12" s="259"/>
      <c r="AE12" s="258"/>
      <c r="AF12" s="259"/>
      <c r="AG12" s="258"/>
      <c r="AH12" s="259"/>
      <c r="AI12" s="258"/>
      <c r="AJ12" s="259"/>
      <c r="AK12" s="258"/>
      <c r="AL12" s="259"/>
      <c r="AM12" s="258"/>
      <c r="AN12" s="259"/>
      <c r="AO12" s="258"/>
      <c r="AP12" s="556"/>
      <c r="AQ12" s="258"/>
      <c r="AR12" s="556"/>
      <c r="AS12" s="258"/>
      <c r="AT12" s="551"/>
      <c r="AU12" s="512">
        <f t="shared" si="22"/>
        <v>0</v>
      </c>
      <c r="AV12" s="514">
        <f t="shared" si="21"/>
        <v>0</v>
      </c>
      <c r="AW12" s="26">
        <f>'t1'!AR10</f>
        <v>0</v>
      </c>
    </row>
    <row r="13" spans="1:49" ht="12.75" customHeight="1">
      <c r="A13" s="141" t="str">
        <f>'t1'!A11</f>
        <v>AVVOCATO I CLASSE ED EQUIP.</v>
      </c>
      <c r="B13" s="210" t="str">
        <f>'t1'!B11</f>
        <v>0D0A1E</v>
      </c>
      <c r="C13" s="512">
        <f t="shared" si="0"/>
        <v>0</v>
      </c>
      <c r="D13" s="514">
        <f t="shared" si="1"/>
        <v>0</v>
      </c>
      <c r="E13" s="512">
        <f t="shared" si="2"/>
        <v>0</v>
      </c>
      <c r="F13" s="514">
        <f t="shared" si="3"/>
        <v>0</v>
      </c>
      <c r="G13" s="512">
        <f t="shared" si="4"/>
        <v>0</v>
      </c>
      <c r="H13" s="514">
        <f t="shared" si="5"/>
        <v>0</v>
      </c>
      <c r="I13" s="512">
        <f t="shared" si="6"/>
        <v>0</v>
      </c>
      <c r="J13" s="514">
        <f t="shared" si="7"/>
        <v>0</v>
      </c>
      <c r="K13" s="512">
        <f t="shared" si="8"/>
        <v>0</v>
      </c>
      <c r="L13" s="514">
        <f t="shared" si="9"/>
        <v>0</v>
      </c>
      <c r="M13" s="512">
        <f t="shared" si="10"/>
        <v>0</v>
      </c>
      <c r="N13" s="514">
        <f t="shared" si="11"/>
        <v>0</v>
      </c>
      <c r="O13" s="512">
        <f t="shared" si="12"/>
        <v>0</v>
      </c>
      <c r="P13" s="514">
        <f t="shared" si="13"/>
        <v>0</v>
      </c>
      <c r="Q13" s="512">
        <f t="shared" si="14"/>
        <v>0</v>
      </c>
      <c r="R13" s="514">
        <f t="shared" si="15"/>
        <v>0</v>
      </c>
      <c r="S13" s="512">
        <f t="shared" si="16"/>
        <v>0</v>
      </c>
      <c r="T13" s="514">
        <f t="shared" si="17"/>
        <v>0</v>
      </c>
      <c r="U13" s="512">
        <f t="shared" si="18"/>
        <v>0</v>
      </c>
      <c r="V13" s="514">
        <f t="shared" si="19"/>
        <v>0</v>
      </c>
      <c r="W13" s="512">
        <f t="shared" si="19"/>
        <v>0</v>
      </c>
      <c r="X13" s="514">
        <f t="shared" si="20"/>
        <v>0</v>
      </c>
      <c r="Y13" s="26">
        <f>'t1'!M11</f>
        <v>0</v>
      </c>
      <c r="AA13" s="258"/>
      <c r="AB13" s="259"/>
      <c r="AC13" s="258"/>
      <c r="AD13" s="259"/>
      <c r="AE13" s="258"/>
      <c r="AF13" s="259"/>
      <c r="AG13" s="258"/>
      <c r="AH13" s="259"/>
      <c r="AI13" s="258"/>
      <c r="AJ13" s="259"/>
      <c r="AK13" s="258"/>
      <c r="AL13" s="259"/>
      <c r="AM13" s="258"/>
      <c r="AN13" s="259"/>
      <c r="AO13" s="258"/>
      <c r="AP13" s="556"/>
      <c r="AQ13" s="258"/>
      <c r="AR13" s="556"/>
      <c r="AS13" s="258"/>
      <c r="AT13" s="551"/>
      <c r="AU13" s="512">
        <f t="shared" si="22"/>
        <v>0</v>
      </c>
      <c r="AV13" s="514">
        <f t="shared" si="21"/>
        <v>0</v>
      </c>
      <c r="AW13" s="26">
        <f>'t1'!AR11</f>
        <v>0</v>
      </c>
    </row>
    <row r="14" spans="1:49" ht="12.75" customHeight="1">
      <c r="A14" s="141" t="str">
        <f>'t1'!A12</f>
        <v>PROCURATORE II CLASSE</v>
      </c>
      <c r="B14" s="210" t="str">
        <f>'t1'!B12</f>
        <v>0D0383</v>
      </c>
      <c r="C14" s="512">
        <f t="shared" si="0"/>
        <v>0</v>
      </c>
      <c r="D14" s="514">
        <f t="shared" si="1"/>
        <v>0</v>
      </c>
      <c r="E14" s="512">
        <f t="shared" si="2"/>
        <v>0</v>
      </c>
      <c r="F14" s="514">
        <f t="shared" si="3"/>
        <v>0</v>
      </c>
      <c r="G14" s="512">
        <f t="shared" si="4"/>
        <v>0</v>
      </c>
      <c r="H14" s="514">
        <f t="shared" si="5"/>
        <v>0</v>
      </c>
      <c r="I14" s="512">
        <f t="shared" si="6"/>
        <v>0</v>
      </c>
      <c r="J14" s="514">
        <f t="shared" si="7"/>
        <v>0</v>
      </c>
      <c r="K14" s="512">
        <f t="shared" si="8"/>
        <v>0</v>
      </c>
      <c r="L14" s="514">
        <f t="shared" si="9"/>
        <v>0</v>
      </c>
      <c r="M14" s="512">
        <f t="shared" si="10"/>
        <v>0</v>
      </c>
      <c r="N14" s="514">
        <f t="shared" si="11"/>
        <v>0</v>
      </c>
      <c r="O14" s="512">
        <f t="shared" si="12"/>
        <v>0</v>
      </c>
      <c r="P14" s="514">
        <f t="shared" si="13"/>
        <v>0</v>
      </c>
      <c r="Q14" s="512">
        <f t="shared" si="14"/>
        <v>0</v>
      </c>
      <c r="R14" s="514">
        <f t="shared" si="15"/>
        <v>0</v>
      </c>
      <c r="S14" s="512">
        <f t="shared" si="16"/>
        <v>0</v>
      </c>
      <c r="T14" s="514">
        <f t="shared" si="17"/>
        <v>0</v>
      </c>
      <c r="U14" s="512">
        <f t="shared" si="18"/>
        <v>0</v>
      </c>
      <c r="V14" s="514">
        <f t="shared" si="19"/>
        <v>0</v>
      </c>
      <c r="W14" s="512">
        <f t="shared" si="19"/>
        <v>0</v>
      </c>
      <c r="X14" s="514">
        <f t="shared" si="20"/>
        <v>0</v>
      </c>
      <c r="Y14" s="26">
        <f>'t1'!M12</f>
        <v>0</v>
      </c>
      <c r="AA14" s="258"/>
      <c r="AB14" s="259"/>
      <c r="AC14" s="258"/>
      <c r="AD14" s="259"/>
      <c r="AE14" s="258"/>
      <c r="AF14" s="259"/>
      <c r="AG14" s="258"/>
      <c r="AH14" s="259"/>
      <c r="AI14" s="258"/>
      <c r="AJ14" s="259"/>
      <c r="AK14" s="258"/>
      <c r="AL14" s="259"/>
      <c r="AM14" s="258"/>
      <c r="AN14" s="259"/>
      <c r="AO14" s="258"/>
      <c r="AP14" s="556"/>
      <c r="AQ14" s="258"/>
      <c r="AR14" s="556"/>
      <c r="AS14" s="258"/>
      <c r="AT14" s="551"/>
      <c r="AU14" s="512">
        <f t="shared" si="22"/>
        <v>0</v>
      </c>
      <c r="AV14" s="514">
        <f t="shared" si="21"/>
        <v>0</v>
      </c>
      <c r="AW14" s="26">
        <f>'t1'!AR12</f>
        <v>0</v>
      </c>
    </row>
    <row r="15" spans="1:49" ht="12.75" customHeight="1" thickBot="1">
      <c r="A15" s="141" t="str">
        <f>'t1'!A13</f>
        <v>PROCURATORE I CLASSE</v>
      </c>
      <c r="B15" s="210" t="str">
        <f>'t1'!B13</f>
        <v>0D0382</v>
      </c>
      <c r="C15" s="512">
        <f t="shared" si="0"/>
        <v>0</v>
      </c>
      <c r="D15" s="514">
        <f t="shared" si="1"/>
        <v>0</v>
      </c>
      <c r="E15" s="512">
        <f t="shared" si="2"/>
        <v>0</v>
      </c>
      <c r="F15" s="514">
        <f t="shared" si="3"/>
        <v>0</v>
      </c>
      <c r="G15" s="512">
        <f t="shared" si="4"/>
        <v>0</v>
      </c>
      <c r="H15" s="514">
        <f t="shared" si="5"/>
        <v>0</v>
      </c>
      <c r="I15" s="512">
        <f t="shared" si="6"/>
        <v>0</v>
      </c>
      <c r="J15" s="514">
        <f t="shared" si="7"/>
        <v>0</v>
      </c>
      <c r="K15" s="512">
        <f t="shared" si="8"/>
        <v>0</v>
      </c>
      <c r="L15" s="514">
        <f t="shared" si="9"/>
        <v>0</v>
      </c>
      <c r="M15" s="512">
        <f t="shared" si="10"/>
        <v>0</v>
      </c>
      <c r="N15" s="514">
        <f t="shared" si="11"/>
        <v>0</v>
      </c>
      <c r="O15" s="512">
        <f t="shared" si="12"/>
        <v>0</v>
      </c>
      <c r="P15" s="514">
        <f t="shared" si="13"/>
        <v>0</v>
      </c>
      <c r="Q15" s="512">
        <f t="shared" si="14"/>
        <v>0</v>
      </c>
      <c r="R15" s="514">
        <f t="shared" si="15"/>
        <v>0</v>
      </c>
      <c r="S15" s="512">
        <f t="shared" si="16"/>
        <v>0</v>
      </c>
      <c r="T15" s="514">
        <f t="shared" si="17"/>
        <v>0</v>
      </c>
      <c r="U15" s="512">
        <f t="shared" si="18"/>
        <v>0</v>
      </c>
      <c r="V15" s="514">
        <f t="shared" si="19"/>
        <v>0</v>
      </c>
      <c r="W15" s="512">
        <f t="shared" si="19"/>
        <v>0</v>
      </c>
      <c r="X15" s="514">
        <f t="shared" si="20"/>
        <v>0</v>
      </c>
      <c r="Y15" s="26">
        <f>'t1'!M13</f>
        <v>0</v>
      </c>
      <c r="AA15" s="258"/>
      <c r="AB15" s="259"/>
      <c r="AC15" s="258"/>
      <c r="AD15" s="259"/>
      <c r="AE15" s="258"/>
      <c r="AF15" s="259"/>
      <c r="AG15" s="258"/>
      <c r="AH15" s="259"/>
      <c r="AI15" s="258"/>
      <c r="AJ15" s="259"/>
      <c r="AK15" s="258"/>
      <c r="AL15" s="259"/>
      <c r="AM15" s="258"/>
      <c r="AN15" s="259"/>
      <c r="AO15" s="258"/>
      <c r="AP15" s="556"/>
      <c r="AQ15" s="258"/>
      <c r="AR15" s="556"/>
      <c r="AS15" s="258"/>
      <c r="AT15" s="551"/>
      <c r="AU15" s="512">
        <f t="shared" si="22"/>
        <v>0</v>
      </c>
      <c r="AV15" s="514">
        <f t="shared" si="21"/>
        <v>0</v>
      </c>
      <c r="AW15" s="26">
        <f>'t1'!AR13</f>
        <v>0</v>
      </c>
    </row>
    <row r="16" spans="1:48" ht="12.75" customHeight="1" thickBot="1" thickTop="1">
      <c r="A16" s="29" t="s">
        <v>58</v>
      </c>
      <c r="B16" s="582"/>
      <c r="C16" s="454">
        <f aca="true" t="shared" si="23" ref="C16:X16">SUM(C8:C15)</f>
        <v>0</v>
      </c>
      <c r="D16" s="455">
        <f t="shared" si="23"/>
        <v>0</v>
      </c>
      <c r="E16" s="454">
        <f t="shared" si="23"/>
        <v>0</v>
      </c>
      <c r="F16" s="455">
        <f t="shared" si="23"/>
        <v>0</v>
      </c>
      <c r="G16" s="454">
        <f t="shared" si="23"/>
        <v>0</v>
      </c>
      <c r="H16" s="455">
        <f t="shared" si="23"/>
        <v>0</v>
      </c>
      <c r="I16" s="454">
        <f t="shared" si="23"/>
        <v>0</v>
      </c>
      <c r="J16" s="455">
        <f t="shared" si="23"/>
        <v>0</v>
      </c>
      <c r="K16" s="454">
        <f t="shared" si="23"/>
        <v>0</v>
      </c>
      <c r="L16" s="455">
        <f t="shared" si="23"/>
        <v>0</v>
      </c>
      <c r="M16" s="454">
        <f t="shared" si="23"/>
        <v>0</v>
      </c>
      <c r="N16" s="455">
        <f t="shared" si="23"/>
        <v>0</v>
      </c>
      <c r="O16" s="454">
        <f>SUM(O8:O15)</f>
        <v>0</v>
      </c>
      <c r="P16" s="455">
        <f>SUM(P8:P15)</f>
        <v>0</v>
      </c>
      <c r="Q16" s="454">
        <f t="shared" si="23"/>
        <v>0</v>
      </c>
      <c r="R16" s="557">
        <f t="shared" si="23"/>
        <v>0</v>
      </c>
      <c r="S16" s="454">
        <f t="shared" si="23"/>
        <v>0</v>
      </c>
      <c r="T16" s="557">
        <f t="shared" si="23"/>
        <v>0</v>
      </c>
      <c r="U16" s="454">
        <f t="shared" si="23"/>
        <v>0</v>
      </c>
      <c r="V16" s="552">
        <f t="shared" si="23"/>
        <v>0</v>
      </c>
      <c r="W16" s="454">
        <f t="shared" si="23"/>
        <v>0</v>
      </c>
      <c r="X16" s="456">
        <f t="shared" si="23"/>
        <v>0</v>
      </c>
      <c r="AA16" s="454">
        <f aca="true" t="shared" si="24" ref="AA16:AV16">SUM(AA8:AA15)</f>
        <v>0</v>
      </c>
      <c r="AB16" s="455">
        <f t="shared" si="24"/>
        <v>0</v>
      </c>
      <c r="AC16" s="454">
        <f t="shared" si="24"/>
        <v>0</v>
      </c>
      <c r="AD16" s="455">
        <f t="shared" si="24"/>
        <v>0</v>
      </c>
      <c r="AE16" s="454">
        <f t="shared" si="24"/>
        <v>0</v>
      </c>
      <c r="AF16" s="455">
        <f t="shared" si="24"/>
        <v>0</v>
      </c>
      <c r="AG16" s="454">
        <f t="shared" si="24"/>
        <v>0</v>
      </c>
      <c r="AH16" s="455">
        <f t="shared" si="24"/>
        <v>0</v>
      </c>
      <c r="AI16" s="454">
        <f t="shared" si="24"/>
        <v>0</v>
      </c>
      <c r="AJ16" s="455">
        <f t="shared" si="24"/>
        <v>0</v>
      </c>
      <c r="AK16" s="454">
        <f t="shared" si="24"/>
        <v>0</v>
      </c>
      <c r="AL16" s="455">
        <f t="shared" si="24"/>
        <v>0</v>
      </c>
      <c r="AM16" s="454">
        <f>SUM(AM8:AM15)</f>
        <v>0</v>
      </c>
      <c r="AN16" s="455">
        <f>SUM(AN8:AN15)</f>
        <v>0</v>
      </c>
      <c r="AO16" s="454">
        <f t="shared" si="24"/>
        <v>0</v>
      </c>
      <c r="AP16" s="557">
        <f t="shared" si="24"/>
        <v>0</v>
      </c>
      <c r="AQ16" s="454">
        <f t="shared" si="24"/>
        <v>0</v>
      </c>
      <c r="AR16" s="557">
        <f t="shared" si="24"/>
        <v>0</v>
      </c>
      <c r="AS16" s="454">
        <f t="shared" si="24"/>
        <v>0</v>
      </c>
      <c r="AT16" s="552">
        <f t="shared" si="24"/>
        <v>0</v>
      </c>
      <c r="AU16" s="454">
        <f t="shared" si="24"/>
        <v>0</v>
      </c>
      <c r="AV16" s="456">
        <f t="shared" si="24"/>
        <v>0</v>
      </c>
    </row>
    <row r="17" spans="1:33" ht="17.25" customHeight="1">
      <c r="A17" s="21"/>
      <c r="B17" s="7"/>
      <c r="C17" s="5"/>
      <c r="D17" s="5"/>
      <c r="E17" s="5"/>
      <c r="F17" s="5"/>
      <c r="G17" s="5"/>
      <c r="I17" s="5"/>
      <c r="AA17" s="5"/>
      <c r="AB17" s="5"/>
      <c r="AC17" s="5"/>
      <c r="AD17" s="5"/>
      <c r="AE17" s="5"/>
      <c r="AG17" s="5"/>
    </row>
    <row r="18" ht="9.75">
      <c r="A18" s="21"/>
    </row>
  </sheetData>
  <sheetProtection password="EA98" sheet="1" formatColumns="0" selectLockedCells="1"/>
  <mergeCells count="43">
    <mergeCell ref="AO5:AP5"/>
    <mergeCell ref="AQ5:AR5"/>
    <mergeCell ref="AS5:AT5"/>
    <mergeCell ref="A1:AV1"/>
    <mergeCell ref="AK4:AL4"/>
    <mergeCell ref="AO4:AP4"/>
    <mergeCell ref="AQ4:AR4"/>
    <mergeCell ref="AS4:AT4"/>
    <mergeCell ref="AA5:AB5"/>
    <mergeCell ref="AC5:AD5"/>
    <mergeCell ref="AE5:AF5"/>
    <mergeCell ref="AG5:AH5"/>
    <mergeCell ref="AI5:AJ5"/>
    <mergeCell ref="AK5:AL5"/>
    <mergeCell ref="AE2:AF2"/>
    <mergeCell ref="AG2:AH2"/>
    <mergeCell ref="AC4:AD4"/>
    <mergeCell ref="AE4:AF4"/>
    <mergeCell ref="AG4:AH4"/>
    <mergeCell ref="AI4:AJ4"/>
    <mergeCell ref="G4:H4"/>
    <mergeCell ref="G5:H5"/>
    <mergeCell ref="M4:N4"/>
    <mergeCell ref="Q5:R5"/>
    <mergeCell ref="S5:T5"/>
    <mergeCell ref="U5:V5"/>
    <mergeCell ref="S4:T4"/>
    <mergeCell ref="U4:V4"/>
    <mergeCell ref="M5:N5"/>
    <mergeCell ref="K5:L5"/>
    <mergeCell ref="I4:J4"/>
    <mergeCell ref="I5:J5"/>
    <mergeCell ref="K4:L4"/>
    <mergeCell ref="AM4:AN4"/>
    <mergeCell ref="AM5:AN5"/>
    <mergeCell ref="O4:P4"/>
    <mergeCell ref="O5:P5"/>
    <mergeCell ref="I2:J2"/>
    <mergeCell ref="C5:D5"/>
    <mergeCell ref="E5:F5"/>
    <mergeCell ref="E4:F4"/>
    <mergeCell ref="G2:H2"/>
    <mergeCell ref="Q4:R4"/>
  </mergeCells>
  <conditionalFormatting sqref="AO8:AV15 A8:X15">
    <cfRule type="expression" priority="4" dxfId="4" stopIfTrue="1">
      <formula>$Y8&gt;0</formula>
    </cfRule>
  </conditionalFormatting>
  <conditionalFormatting sqref="AA8:AN15">
    <cfRule type="expression" priority="3" dxfId="4" stopIfTrue="1">
      <formula>$Y8&gt;0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9"/>
  <dimension ref="A1:AP1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35.660156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37" width="9.33203125" style="5" customWidth="1"/>
    <col min="38" max="41" width="0" style="5" hidden="1" customWidth="1"/>
    <col min="42" max="42" width="39.66015625" style="5" customWidth="1"/>
    <col min="43" max="16384" width="9.33203125" style="5" customWidth="1"/>
  </cols>
  <sheetData>
    <row r="1" spans="1:37" ht="33" customHeight="1">
      <c r="A1" s="882" t="str">
        <f>'t1'!A1</f>
        <v>AVVOCATURA DI STATO - anno 2021</v>
      </c>
      <c r="B1" s="882"/>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K1"/>
    </row>
    <row r="2" spans="1:35" ht="27" customHeight="1" thickBot="1">
      <c r="A2" s="6"/>
      <c r="I2" s="883"/>
      <c r="J2" s="883"/>
      <c r="K2" s="883"/>
      <c r="AG2" s="883"/>
      <c r="AH2" s="883"/>
      <c r="AI2" s="883"/>
    </row>
    <row r="3" spans="1:42" ht="10.5" thickBot="1">
      <c r="A3" s="10"/>
      <c r="B3" s="11"/>
      <c r="C3" s="119" t="s">
        <v>230</v>
      </c>
      <c r="D3" s="12"/>
      <c r="E3" s="12"/>
      <c r="F3" s="12"/>
      <c r="G3" s="12"/>
      <c r="H3" s="12"/>
      <c r="I3" s="12"/>
      <c r="J3" s="115"/>
      <c r="K3" s="115"/>
      <c r="AA3" s="119" t="s">
        <v>230</v>
      </c>
      <c r="AB3" s="12"/>
      <c r="AC3" s="12"/>
      <c r="AD3" s="12"/>
      <c r="AE3" s="12"/>
      <c r="AF3" s="12"/>
      <c r="AG3" s="12"/>
      <c r="AH3" s="115"/>
      <c r="AI3" s="115"/>
      <c r="AK3"/>
      <c r="AL3"/>
      <c r="AM3"/>
      <c r="AN3"/>
      <c r="AO3"/>
      <c r="AP3" s="817"/>
    </row>
    <row r="4" spans="1:42" ht="41.25" thickTop="1">
      <c r="A4" s="22" t="s">
        <v>122</v>
      </c>
      <c r="B4" s="116" t="s">
        <v>55</v>
      </c>
      <c r="C4" s="117" t="s">
        <v>160</v>
      </c>
      <c r="D4" s="117" t="s">
        <v>123</v>
      </c>
      <c r="E4" s="117" t="s">
        <v>388</v>
      </c>
      <c r="F4" s="791" t="s">
        <v>507</v>
      </c>
      <c r="G4" s="792" t="s">
        <v>508</v>
      </c>
      <c r="H4" s="117" t="s">
        <v>92</v>
      </c>
      <c r="I4" s="117" t="s">
        <v>159</v>
      </c>
      <c r="J4" s="117" t="s">
        <v>93</v>
      </c>
      <c r="K4" s="584" t="s">
        <v>58</v>
      </c>
      <c r="AA4" s="117" t="s">
        <v>160</v>
      </c>
      <c r="AB4" s="117" t="s">
        <v>123</v>
      </c>
      <c r="AC4" s="117" t="s">
        <v>388</v>
      </c>
      <c r="AD4" s="791" t="s">
        <v>507</v>
      </c>
      <c r="AE4" s="792" t="s">
        <v>508</v>
      </c>
      <c r="AF4" s="117" t="s">
        <v>92</v>
      </c>
      <c r="AG4" s="117" t="s">
        <v>159</v>
      </c>
      <c r="AH4" s="117" t="s">
        <v>93</v>
      </c>
      <c r="AI4" s="584" t="s">
        <v>58</v>
      </c>
      <c r="AK4" s="818" t="s">
        <v>519</v>
      </c>
      <c r="AL4" s="818"/>
      <c r="AM4" s="818"/>
      <c r="AN4" s="818"/>
      <c r="AO4" s="818"/>
      <c r="AP4" s="942" t="s">
        <v>520</v>
      </c>
    </row>
    <row r="5" spans="1:42" s="253" customFormat="1" ht="12" thickBot="1">
      <c r="A5" s="732" t="s">
        <v>478</v>
      </c>
      <c r="B5" s="273"/>
      <c r="C5" s="274" t="s">
        <v>370</v>
      </c>
      <c r="D5" s="274" t="s">
        <v>366</v>
      </c>
      <c r="E5" s="274" t="s">
        <v>389</v>
      </c>
      <c r="F5" s="274" t="s">
        <v>509</v>
      </c>
      <c r="G5" s="274" t="s">
        <v>510</v>
      </c>
      <c r="H5" s="274" t="s">
        <v>367</v>
      </c>
      <c r="I5" s="274" t="s">
        <v>368</v>
      </c>
      <c r="J5" s="274" t="s">
        <v>369</v>
      </c>
      <c r="K5" s="275"/>
      <c r="AA5" s="274" t="s">
        <v>370</v>
      </c>
      <c r="AB5" s="274" t="s">
        <v>366</v>
      </c>
      <c r="AC5" s="274" t="s">
        <v>389</v>
      </c>
      <c r="AD5" s="274" t="s">
        <v>509</v>
      </c>
      <c r="AE5" s="274" t="s">
        <v>510</v>
      </c>
      <c r="AF5" s="274" t="s">
        <v>367</v>
      </c>
      <c r="AG5" s="274" t="s">
        <v>368</v>
      </c>
      <c r="AH5" s="274" t="s">
        <v>369</v>
      </c>
      <c r="AI5" s="275"/>
      <c r="AK5" s="819">
        <f>COUNTIF(AP6:AP49,"Incongruenza")</f>
        <v>0</v>
      </c>
      <c r="AL5" s="820"/>
      <c r="AM5" s="820"/>
      <c r="AN5" s="821" t="s">
        <v>521</v>
      </c>
      <c r="AO5" s="821" t="s">
        <v>522</v>
      </c>
      <c r="AP5" s="943"/>
    </row>
    <row r="6" spans="1:42" ht="12.75" customHeight="1" thickBot="1" thickTop="1">
      <c r="A6" s="20" t="str">
        <f>'t1'!A6</f>
        <v>AVVOCATO GENERALE</v>
      </c>
      <c r="B6" s="217" t="str">
        <f>'t1'!B6</f>
        <v>0D0381</v>
      </c>
      <c r="C6" s="196">
        <f>ROUND(AA6,2)</f>
        <v>0</v>
      </c>
      <c r="D6" s="747">
        <f>ROUND(AB6,0)</f>
        <v>0</v>
      </c>
      <c r="E6" s="747">
        <f aca="true" t="shared" si="0" ref="E6:E13">ROUND(AC6,0)</f>
        <v>0</v>
      </c>
      <c r="F6" s="747">
        <f>ROUND(AD6,0)</f>
        <v>0</v>
      </c>
      <c r="G6" s="747">
        <f>ROUND(AE6,0)</f>
        <v>0</v>
      </c>
      <c r="H6" s="747">
        <f aca="true" t="shared" si="1" ref="H6:H13">ROUND(AF6,0)</f>
        <v>0</v>
      </c>
      <c r="I6" s="747">
        <f aca="true" t="shared" si="2" ref="I6:I13">ROUND(AG6,0)</f>
        <v>0</v>
      </c>
      <c r="J6" s="748">
        <f aca="true" t="shared" si="3" ref="J6:J13">ROUND(AH6,0)</f>
        <v>0</v>
      </c>
      <c r="K6" s="460">
        <f>(D6+E6+F6+G6+H6+I6)-J6</f>
        <v>0</v>
      </c>
      <c r="L6" s="5">
        <f>'t1'!M6</f>
        <v>0</v>
      </c>
      <c r="AA6" s="196"/>
      <c r="AB6" s="194"/>
      <c r="AC6" s="194"/>
      <c r="AD6" s="194"/>
      <c r="AE6" s="194"/>
      <c r="AF6" s="194"/>
      <c r="AG6" s="194"/>
      <c r="AH6" s="195"/>
      <c r="AI6" s="460">
        <f>(AB6+AC6+AD6+AE6+AF6+AG6)-AH6</f>
        <v>0</v>
      </c>
      <c r="AJ6" s="5">
        <f>'t1'!AK6</f>
        <v>0</v>
      </c>
      <c r="AK6"/>
      <c r="AL6" s="5" t="s">
        <v>517</v>
      </c>
      <c r="AM6" s="5" t="s">
        <v>518</v>
      </c>
      <c r="AN6" s="814" t="str">
        <f>IF(AL6="no",(IF(AD6&gt;0,"Incongruenza","OK")),(IF(AD6=0,"OK","ok")))</f>
        <v>OK</v>
      </c>
      <c r="AO6" s="815" t="str">
        <f>IF(AM6="no",(IF(AE6&gt;0,"Incongruenza","OK")),(IF(AE6=0,"OK","ok")))</f>
        <v>OK</v>
      </c>
      <c r="AP6" s="816" t="str">
        <f>IF(AND(AL6="no",AM6="no",AE6&gt;0),"Sono stati inseriti importi RIA e/o Progressioni",IF(AND(AL6="no",AM6="no",AD6&gt;0)," ",IF(OR(AN6="Incongruenza",AO6="Incongruenza"),"Incongruenza"," ")))</f>
        <v> </v>
      </c>
    </row>
    <row r="7" spans="1:42" ht="12" customHeight="1" thickBot="1">
      <c r="A7" s="141" t="str">
        <f>'t1'!A7</f>
        <v>AVVOCATO GENERALE AGGIUNTO</v>
      </c>
      <c r="B7" s="210" t="str">
        <f>'t1'!B7</f>
        <v>0D0845</v>
      </c>
      <c r="C7" s="196">
        <f aca="true" t="shared" si="4" ref="C7:C13">ROUND(AA7,2)</f>
        <v>0</v>
      </c>
      <c r="D7" s="747">
        <f aca="true" t="shared" si="5" ref="D7:D13">ROUND(AB7,0)</f>
        <v>0</v>
      </c>
      <c r="E7" s="747">
        <f t="shared" si="0"/>
        <v>0</v>
      </c>
      <c r="F7" s="747">
        <f aca="true" t="shared" si="6" ref="F7:F13">ROUND(AD7,0)</f>
        <v>0</v>
      </c>
      <c r="G7" s="747">
        <f aca="true" t="shared" si="7" ref="G7:G13">ROUND(AE7,0)</f>
        <v>0</v>
      </c>
      <c r="H7" s="747">
        <f t="shared" si="1"/>
        <v>0</v>
      </c>
      <c r="I7" s="747">
        <f t="shared" si="2"/>
        <v>0</v>
      </c>
      <c r="J7" s="748">
        <f t="shared" si="3"/>
        <v>0</v>
      </c>
      <c r="K7" s="460">
        <f aca="true" t="shared" si="8" ref="K7:K13">(D7+E7+F7+G7+H7+I7)-J7</f>
        <v>0</v>
      </c>
      <c r="L7" s="5">
        <f>'t1'!M7</f>
        <v>0</v>
      </c>
      <c r="AA7" s="196"/>
      <c r="AB7" s="194"/>
      <c r="AC7" s="194"/>
      <c r="AD7" s="194"/>
      <c r="AE7" s="194"/>
      <c r="AF7" s="194"/>
      <c r="AG7" s="194"/>
      <c r="AH7" s="195"/>
      <c r="AI7" s="460">
        <f aca="true" t="shared" si="9" ref="AI7:AI13">(AB7+AC7+AD7+AE7+AF7+AG7)-AH7</f>
        <v>0</v>
      </c>
      <c r="AJ7" s="5">
        <f>'t1'!AK7</f>
        <v>0</v>
      </c>
      <c r="AL7" s="5" t="s">
        <v>517</v>
      </c>
      <c r="AM7" s="5" t="s">
        <v>518</v>
      </c>
      <c r="AN7" s="814" t="str">
        <f aca="true" t="shared" si="10" ref="AN7:AN13">IF(AL7="no",(IF(AD7&gt;0,"Incongruenza","OK")),(IF(AD7=0,"OK","ok")))</f>
        <v>OK</v>
      </c>
      <c r="AO7" s="815" t="str">
        <f aca="true" t="shared" si="11" ref="AO7:AO13">IF(AM7="no",(IF(AE7&gt;0,"Incongruenza","OK")),(IF(AE7=0,"OK","ok")))</f>
        <v>OK</v>
      </c>
      <c r="AP7" s="816" t="str">
        <f aca="true" t="shared" si="12" ref="AP7:AP13">IF(AND(AL7="no",AM7="no",AE7&gt;0),"Sono stati inseriti importi RIA e/o Progressioni",IF(AND(AL7="no",AM7="no",AD7&gt;0)," ",IF(OR(AN7="Incongruenza",AO7="Incongruenza"),"Incongruenza"," ")))</f>
        <v> </v>
      </c>
    </row>
    <row r="8" spans="1:42" ht="12" customHeight="1" thickBot="1">
      <c r="A8" s="141" t="str">
        <f>'t1'!A8</f>
        <v>AVVOCATO IV CLASSE</v>
      </c>
      <c r="B8" s="210" t="str">
        <f>'t1'!B8</f>
        <v>0D0380</v>
      </c>
      <c r="C8" s="196">
        <f t="shared" si="4"/>
        <v>0</v>
      </c>
      <c r="D8" s="747">
        <f t="shared" si="5"/>
        <v>0</v>
      </c>
      <c r="E8" s="747">
        <f t="shared" si="0"/>
        <v>0</v>
      </c>
      <c r="F8" s="747">
        <f t="shared" si="6"/>
        <v>0</v>
      </c>
      <c r="G8" s="747">
        <f t="shared" si="7"/>
        <v>0</v>
      </c>
      <c r="H8" s="747">
        <f t="shared" si="1"/>
        <v>0</v>
      </c>
      <c r="I8" s="747">
        <f t="shared" si="2"/>
        <v>0</v>
      </c>
      <c r="J8" s="748">
        <f t="shared" si="3"/>
        <v>0</v>
      </c>
      <c r="K8" s="460">
        <f t="shared" si="8"/>
        <v>0</v>
      </c>
      <c r="L8" s="5">
        <f>'t1'!M8</f>
        <v>0</v>
      </c>
      <c r="AA8" s="196"/>
      <c r="AB8" s="194"/>
      <c r="AC8" s="194"/>
      <c r="AD8" s="194"/>
      <c r="AE8" s="194"/>
      <c r="AF8" s="194"/>
      <c r="AG8" s="194"/>
      <c r="AH8" s="195"/>
      <c r="AI8" s="460">
        <f t="shared" si="9"/>
        <v>0</v>
      </c>
      <c r="AJ8" s="5">
        <f>'t1'!AK8</f>
        <v>0</v>
      </c>
      <c r="AL8" s="5" t="s">
        <v>517</v>
      </c>
      <c r="AM8" s="5" t="s">
        <v>518</v>
      </c>
      <c r="AN8" s="814" t="str">
        <f t="shared" si="10"/>
        <v>OK</v>
      </c>
      <c r="AO8" s="815" t="str">
        <f t="shared" si="11"/>
        <v>OK</v>
      </c>
      <c r="AP8" s="816" t="str">
        <f t="shared" si="12"/>
        <v> </v>
      </c>
    </row>
    <row r="9" spans="1:42" ht="12" customHeight="1" thickBot="1">
      <c r="A9" s="141" t="str">
        <f>'t1'!A9</f>
        <v>AVVOCATO III CLASSE</v>
      </c>
      <c r="B9" s="210" t="str">
        <f>'t1'!B9</f>
        <v>0D0379</v>
      </c>
      <c r="C9" s="196">
        <f t="shared" si="4"/>
        <v>0</v>
      </c>
      <c r="D9" s="747">
        <f t="shared" si="5"/>
        <v>0</v>
      </c>
      <c r="E9" s="747">
        <f t="shared" si="0"/>
        <v>0</v>
      </c>
      <c r="F9" s="747">
        <f t="shared" si="6"/>
        <v>0</v>
      </c>
      <c r="G9" s="747">
        <f t="shared" si="7"/>
        <v>0</v>
      </c>
      <c r="H9" s="747">
        <f t="shared" si="1"/>
        <v>0</v>
      </c>
      <c r="I9" s="747">
        <f t="shared" si="2"/>
        <v>0</v>
      </c>
      <c r="J9" s="748">
        <f t="shared" si="3"/>
        <v>0</v>
      </c>
      <c r="K9" s="460">
        <f t="shared" si="8"/>
        <v>0</v>
      </c>
      <c r="L9" s="5">
        <f>'t1'!M9</f>
        <v>0</v>
      </c>
      <c r="AA9" s="196"/>
      <c r="AB9" s="194"/>
      <c r="AC9" s="194"/>
      <c r="AD9" s="194"/>
      <c r="AE9" s="194"/>
      <c r="AF9" s="194"/>
      <c r="AG9" s="194"/>
      <c r="AH9" s="195"/>
      <c r="AI9" s="460">
        <f t="shared" si="9"/>
        <v>0</v>
      </c>
      <c r="AJ9" s="5">
        <f>'t1'!AK9</f>
        <v>0</v>
      </c>
      <c r="AL9" s="5" t="s">
        <v>517</v>
      </c>
      <c r="AM9" s="5" t="s">
        <v>518</v>
      </c>
      <c r="AN9" s="814" t="str">
        <f t="shared" si="10"/>
        <v>OK</v>
      </c>
      <c r="AO9" s="815" t="str">
        <f t="shared" si="11"/>
        <v>OK</v>
      </c>
      <c r="AP9" s="816" t="str">
        <f t="shared" si="12"/>
        <v> </v>
      </c>
    </row>
    <row r="10" spans="1:42" ht="12" customHeight="1" thickBot="1">
      <c r="A10" s="141" t="str">
        <f>'t1'!A10</f>
        <v>AVVOCATO II CLASSE ED EQUIP.</v>
      </c>
      <c r="B10" s="210" t="str">
        <f>'t1'!B10</f>
        <v>0D0A2E</v>
      </c>
      <c r="C10" s="196">
        <f t="shared" si="4"/>
        <v>0</v>
      </c>
      <c r="D10" s="747">
        <f t="shared" si="5"/>
        <v>0</v>
      </c>
      <c r="E10" s="747">
        <f t="shared" si="0"/>
        <v>0</v>
      </c>
      <c r="F10" s="747">
        <f t="shared" si="6"/>
        <v>0</v>
      </c>
      <c r="G10" s="747">
        <f t="shared" si="7"/>
        <v>0</v>
      </c>
      <c r="H10" s="747">
        <f t="shared" si="1"/>
        <v>0</v>
      </c>
      <c r="I10" s="747">
        <f t="shared" si="2"/>
        <v>0</v>
      </c>
      <c r="J10" s="748">
        <f t="shared" si="3"/>
        <v>0</v>
      </c>
      <c r="K10" s="460">
        <f t="shared" si="8"/>
        <v>0</v>
      </c>
      <c r="L10" s="5">
        <f>'t1'!M10</f>
        <v>0</v>
      </c>
      <c r="AA10" s="196"/>
      <c r="AB10" s="194"/>
      <c r="AC10" s="194"/>
      <c r="AD10" s="194"/>
      <c r="AE10" s="194"/>
      <c r="AF10" s="194"/>
      <c r="AG10" s="194"/>
      <c r="AH10" s="195"/>
      <c r="AI10" s="460">
        <f t="shared" si="9"/>
        <v>0</v>
      </c>
      <c r="AJ10" s="5">
        <f>'t1'!AK10</f>
        <v>0</v>
      </c>
      <c r="AL10" s="5" t="s">
        <v>517</v>
      </c>
      <c r="AM10" s="5" t="s">
        <v>518</v>
      </c>
      <c r="AN10" s="814" t="str">
        <f t="shared" si="10"/>
        <v>OK</v>
      </c>
      <c r="AO10" s="815" t="str">
        <f t="shared" si="11"/>
        <v>OK</v>
      </c>
      <c r="AP10" s="816" t="str">
        <f t="shared" si="12"/>
        <v> </v>
      </c>
    </row>
    <row r="11" spans="1:42" ht="12" customHeight="1" thickBot="1">
      <c r="A11" s="141" t="str">
        <f>'t1'!A11</f>
        <v>AVVOCATO I CLASSE ED EQUIP.</v>
      </c>
      <c r="B11" s="210" t="str">
        <f>'t1'!B11</f>
        <v>0D0A1E</v>
      </c>
      <c r="C11" s="196">
        <f t="shared" si="4"/>
        <v>0</v>
      </c>
      <c r="D11" s="747">
        <f t="shared" si="5"/>
        <v>0</v>
      </c>
      <c r="E11" s="747">
        <f t="shared" si="0"/>
        <v>0</v>
      </c>
      <c r="F11" s="747">
        <f t="shared" si="6"/>
        <v>0</v>
      </c>
      <c r="G11" s="747">
        <f t="shared" si="7"/>
        <v>0</v>
      </c>
      <c r="H11" s="747">
        <f t="shared" si="1"/>
        <v>0</v>
      </c>
      <c r="I11" s="747">
        <f t="shared" si="2"/>
        <v>0</v>
      </c>
      <c r="J11" s="748">
        <f t="shared" si="3"/>
        <v>0</v>
      </c>
      <c r="K11" s="460">
        <f t="shared" si="8"/>
        <v>0</v>
      </c>
      <c r="L11" s="5">
        <f>'t1'!M11</f>
        <v>0</v>
      </c>
      <c r="AA11" s="196"/>
      <c r="AB11" s="194"/>
      <c r="AC11" s="194"/>
      <c r="AD11" s="194"/>
      <c r="AE11" s="194"/>
      <c r="AF11" s="194"/>
      <c r="AG11" s="194"/>
      <c r="AH11" s="195"/>
      <c r="AI11" s="460">
        <f t="shared" si="9"/>
        <v>0</v>
      </c>
      <c r="AJ11" s="5">
        <f>'t1'!AK11</f>
        <v>0</v>
      </c>
      <c r="AL11" s="5" t="s">
        <v>517</v>
      </c>
      <c r="AM11" s="5" t="s">
        <v>518</v>
      </c>
      <c r="AN11" s="814" t="str">
        <f t="shared" si="10"/>
        <v>OK</v>
      </c>
      <c r="AO11" s="815" t="str">
        <f t="shared" si="11"/>
        <v>OK</v>
      </c>
      <c r="AP11" s="816" t="str">
        <f t="shared" si="12"/>
        <v> </v>
      </c>
    </row>
    <row r="12" spans="1:42" ht="12" customHeight="1" thickBot="1">
      <c r="A12" s="141" t="str">
        <f>'t1'!A12</f>
        <v>PROCURATORE II CLASSE</v>
      </c>
      <c r="B12" s="210" t="str">
        <f>'t1'!B12</f>
        <v>0D0383</v>
      </c>
      <c r="C12" s="196">
        <f t="shared" si="4"/>
        <v>0</v>
      </c>
      <c r="D12" s="747">
        <f t="shared" si="5"/>
        <v>0</v>
      </c>
      <c r="E12" s="747">
        <f t="shared" si="0"/>
        <v>0</v>
      </c>
      <c r="F12" s="747">
        <f t="shared" si="6"/>
        <v>0</v>
      </c>
      <c r="G12" s="747">
        <f t="shared" si="7"/>
        <v>0</v>
      </c>
      <c r="H12" s="747">
        <f t="shared" si="1"/>
        <v>0</v>
      </c>
      <c r="I12" s="747">
        <f t="shared" si="2"/>
        <v>0</v>
      </c>
      <c r="J12" s="748">
        <f t="shared" si="3"/>
        <v>0</v>
      </c>
      <c r="K12" s="460">
        <f t="shared" si="8"/>
        <v>0</v>
      </c>
      <c r="L12" s="5">
        <f>'t1'!M12</f>
        <v>0</v>
      </c>
      <c r="AA12" s="196"/>
      <c r="AB12" s="194"/>
      <c r="AC12" s="194"/>
      <c r="AD12" s="194"/>
      <c r="AE12" s="194"/>
      <c r="AF12" s="194"/>
      <c r="AG12" s="194"/>
      <c r="AH12" s="195"/>
      <c r="AI12" s="460">
        <f t="shared" si="9"/>
        <v>0</v>
      </c>
      <c r="AJ12" s="5">
        <f>'t1'!AK12</f>
        <v>0</v>
      </c>
      <c r="AL12" s="5" t="s">
        <v>517</v>
      </c>
      <c r="AM12" s="5" t="s">
        <v>518</v>
      </c>
      <c r="AN12" s="814" t="str">
        <f t="shared" si="10"/>
        <v>OK</v>
      </c>
      <c r="AO12" s="815" t="str">
        <f t="shared" si="11"/>
        <v>OK</v>
      </c>
      <c r="AP12" s="816" t="str">
        <f t="shared" si="12"/>
        <v> </v>
      </c>
    </row>
    <row r="13" spans="1:42" ht="12" customHeight="1" thickBot="1">
      <c r="A13" s="141" t="str">
        <f>'t1'!A13</f>
        <v>PROCURATORE I CLASSE</v>
      </c>
      <c r="B13" s="210" t="str">
        <f>'t1'!B13</f>
        <v>0D0382</v>
      </c>
      <c r="C13" s="196">
        <f t="shared" si="4"/>
        <v>0</v>
      </c>
      <c r="D13" s="747">
        <f t="shared" si="5"/>
        <v>0</v>
      </c>
      <c r="E13" s="747">
        <f t="shared" si="0"/>
        <v>0</v>
      </c>
      <c r="F13" s="747">
        <f t="shared" si="6"/>
        <v>0</v>
      </c>
      <c r="G13" s="747">
        <f t="shared" si="7"/>
        <v>0</v>
      </c>
      <c r="H13" s="747">
        <f t="shared" si="1"/>
        <v>0</v>
      </c>
      <c r="I13" s="747">
        <f t="shared" si="2"/>
        <v>0</v>
      </c>
      <c r="J13" s="748">
        <f t="shared" si="3"/>
        <v>0</v>
      </c>
      <c r="K13" s="460">
        <f t="shared" si="8"/>
        <v>0</v>
      </c>
      <c r="L13" s="5">
        <f>'t1'!M13</f>
        <v>0</v>
      </c>
      <c r="AA13" s="196"/>
      <c r="AB13" s="194"/>
      <c r="AC13" s="194"/>
      <c r="AD13" s="194"/>
      <c r="AE13" s="194"/>
      <c r="AF13" s="194"/>
      <c r="AG13" s="194"/>
      <c r="AH13" s="195"/>
      <c r="AI13" s="460">
        <f t="shared" si="9"/>
        <v>0</v>
      </c>
      <c r="AJ13" s="5">
        <f>'t1'!AK13</f>
        <v>0</v>
      </c>
      <c r="AL13" s="5" t="s">
        <v>517</v>
      </c>
      <c r="AM13" s="5" t="s">
        <v>518</v>
      </c>
      <c r="AN13" s="814" t="str">
        <f t="shared" si="10"/>
        <v>OK</v>
      </c>
      <c r="AO13" s="815" t="str">
        <f t="shared" si="11"/>
        <v>OK</v>
      </c>
      <c r="AP13" s="816" t="str">
        <f t="shared" si="12"/>
        <v> </v>
      </c>
    </row>
    <row r="14" spans="1:35" ht="12" customHeight="1" thickBot="1" thickTop="1">
      <c r="A14" s="113" t="s">
        <v>58</v>
      </c>
      <c r="B14" s="114"/>
      <c r="C14" s="487">
        <f aca="true" t="shared" si="13" ref="C14:K14">SUM(C6:C13)</f>
        <v>0</v>
      </c>
      <c r="D14" s="458">
        <f t="shared" si="13"/>
        <v>0</v>
      </c>
      <c r="E14" s="458">
        <f t="shared" si="13"/>
        <v>0</v>
      </c>
      <c r="F14" s="458">
        <f t="shared" si="13"/>
        <v>0</v>
      </c>
      <c r="G14" s="458">
        <f t="shared" si="13"/>
        <v>0</v>
      </c>
      <c r="H14" s="458">
        <f t="shared" si="13"/>
        <v>0</v>
      </c>
      <c r="I14" s="458">
        <f t="shared" si="13"/>
        <v>0</v>
      </c>
      <c r="J14" s="458">
        <f t="shared" si="13"/>
        <v>0</v>
      </c>
      <c r="K14" s="459">
        <f t="shared" si="13"/>
        <v>0</v>
      </c>
      <c r="AA14" s="487">
        <f aca="true" t="shared" si="14" ref="AA14:AI14">SUM(AA6:AA13)</f>
        <v>0</v>
      </c>
      <c r="AB14" s="458">
        <f t="shared" si="14"/>
        <v>0</v>
      </c>
      <c r="AC14" s="458">
        <f t="shared" si="14"/>
        <v>0</v>
      </c>
      <c r="AD14" s="458">
        <f t="shared" si="14"/>
        <v>0</v>
      </c>
      <c r="AE14" s="458">
        <f t="shared" si="14"/>
        <v>0</v>
      </c>
      <c r="AF14" s="458">
        <f t="shared" si="14"/>
        <v>0</v>
      </c>
      <c r="AG14" s="458">
        <f t="shared" si="14"/>
        <v>0</v>
      </c>
      <c r="AH14" s="458">
        <f t="shared" si="14"/>
        <v>0</v>
      </c>
      <c r="AI14" s="459">
        <f t="shared" si="14"/>
        <v>0</v>
      </c>
    </row>
    <row r="15" spans="1:35" s="39" customFormat="1" ht="9.75">
      <c r="A15" s="21"/>
      <c r="B15" s="7"/>
      <c r="C15" s="5"/>
      <c r="D15" s="5"/>
      <c r="E15" s="5"/>
      <c r="F15" s="5"/>
      <c r="G15" s="5"/>
      <c r="H15" s="5"/>
      <c r="I15" s="5"/>
      <c r="J15" s="5"/>
      <c r="K15" s="5"/>
      <c r="AA15" s="5"/>
      <c r="AB15" s="5"/>
      <c r="AC15" s="5"/>
      <c r="AD15" s="5"/>
      <c r="AE15" s="5"/>
      <c r="AF15" s="5"/>
      <c r="AG15" s="5"/>
      <c r="AH15" s="5"/>
      <c r="AI15" s="5"/>
    </row>
    <row r="16" ht="9.75">
      <c r="A16" s="21"/>
    </row>
    <row r="17" ht="9.75">
      <c r="A17" s="5" t="s">
        <v>161</v>
      </c>
    </row>
    <row r="18" ht="9.75">
      <c r="A18" s="5" t="s">
        <v>162</v>
      </c>
    </row>
  </sheetData>
  <sheetProtection password="EA98" sheet="1" formatColumns="0" selectLockedCells="1"/>
  <mergeCells count="4">
    <mergeCell ref="I2:K2"/>
    <mergeCell ref="AG2:AI2"/>
    <mergeCell ref="A1:AI1"/>
    <mergeCell ref="AP4:AP5"/>
  </mergeCells>
  <conditionalFormatting sqref="A6:K13 AA6:AI13">
    <cfRule type="expression" priority="1" dxfId="4" stopIfTrue="1">
      <formula>$L6&gt;0</formula>
    </cfRule>
  </conditionalFormatting>
  <dataValidations count="2">
    <dataValidation type="whole" allowBlank="1" showInputMessage="1" showErrorMessage="1" errorTitle="ERRORE NEL DATO IMMESSO" error="INSERIRE SOLO NUMERI INTERI" sqref="D6:J13 AB6:AH13">
      <formula1>1</formula1>
      <formula2>999999999999</formula2>
    </dataValidation>
    <dataValidation type="decimal" allowBlank="1" showInputMessage="1" showErrorMessage="1" sqref="C6:C13 AA6:AA13">
      <formula1>0</formula1>
      <formula2>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AS20"/>
  <sheetViews>
    <sheetView showGridLines="0" zoomScalePageLayoutView="0" workbookViewId="0" topLeftCell="A1">
      <pane xSplit="2" ySplit="5" topLeftCell="AF6" activePane="bottomRight" state="frozen"/>
      <selection pane="topLeft" activeCell="A2" sqref="A2"/>
      <selection pane="topRight" activeCell="A2" sqref="A2"/>
      <selection pane="bottomLeft" activeCell="A2" sqref="A2"/>
      <selection pane="bottomRight" activeCell="AF6" sqref="AF6"/>
    </sheetView>
  </sheetViews>
  <sheetFormatPr defaultColWidth="9.33203125" defaultRowHeight="10.5"/>
  <cols>
    <col min="1" max="1" width="40.5" style="5" customWidth="1"/>
    <col min="2" max="2" width="8.66015625" style="7" customWidth="1"/>
    <col min="3" max="3" width="11.5" style="5" hidden="1" customWidth="1"/>
    <col min="4" max="5" width="12.33203125" style="5" hidden="1" customWidth="1"/>
    <col min="6" max="6" width="14.5" style="5" hidden="1" customWidth="1"/>
    <col min="7" max="7" width="12.5" style="5" hidden="1" customWidth="1"/>
    <col min="8" max="8" width="16.83203125" style="5" hidden="1" customWidth="1"/>
    <col min="9" max="12" width="14.5" style="5" hidden="1" customWidth="1"/>
    <col min="13" max="31" width="9.33203125" style="5" hidden="1" customWidth="1"/>
    <col min="32" max="32" width="11.5" style="5" bestFit="1" customWidth="1"/>
    <col min="33" max="33" width="12.33203125" style="5" bestFit="1" customWidth="1"/>
    <col min="34" max="34" width="12.33203125" style="5" customWidth="1"/>
    <col min="35" max="35" width="14.5" style="5" customWidth="1"/>
    <col min="36" max="36" width="12.5" style="5" bestFit="1" customWidth="1"/>
    <col min="37" max="37" width="16.83203125" style="5" customWidth="1"/>
    <col min="38" max="41" width="14.5" style="5" customWidth="1"/>
    <col min="42" max="42" width="0" style="5" hidden="1" customWidth="1"/>
    <col min="43" max="16384" width="9.33203125" style="5" customWidth="1"/>
  </cols>
  <sheetData>
    <row r="1" spans="1:41" ht="36" customHeight="1">
      <c r="A1" s="882" t="str">
        <f>'t1'!A1</f>
        <v>AVVOCATURA DI STATO - anno 2021</v>
      </c>
      <c r="B1" s="882"/>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2"/>
      <c r="AL1" s="882"/>
      <c r="AM1" s="882"/>
      <c r="AN1" s="882"/>
      <c r="AO1" s="882"/>
    </row>
    <row r="2" spans="1:41" ht="27" customHeight="1" thickBot="1">
      <c r="A2" s="6"/>
      <c r="G2" s="101"/>
      <c r="H2" s="101"/>
      <c r="I2" s="101"/>
      <c r="J2" s="101"/>
      <c r="K2" s="101"/>
      <c r="L2" s="466"/>
      <c r="AJ2" s="101"/>
      <c r="AK2" s="101"/>
      <c r="AL2" s="101"/>
      <c r="AM2" s="101"/>
      <c r="AN2" s="101"/>
      <c r="AO2" s="466"/>
    </row>
    <row r="3" spans="1:41" ht="13.5" thickBot="1">
      <c r="A3" s="10"/>
      <c r="B3" s="11"/>
      <c r="C3" s="296" t="s">
        <v>230</v>
      </c>
      <c r="D3" s="14"/>
      <c r="E3" s="14"/>
      <c r="F3" s="14"/>
      <c r="G3" s="95"/>
      <c r="H3" s="95"/>
      <c r="I3" s="95"/>
      <c r="J3" s="95"/>
      <c r="K3" s="95"/>
      <c r="L3" s="99"/>
      <c r="AF3" s="296" t="s">
        <v>230</v>
      </c>
      <c r="AG3" s="14"/>
      <c r="AH3" s="14"/>
      <c r="AI3" s="14"/>
      <c r="AJ3" s="95"/>
      <c r="AK3" s="95"/>
      <c r="AL3" s="95"/>
      <c r="AM3" s="95"/>
      <c r="AN3" s="95"/>
      <c r="AO3" s="99"/>
    </row>
    <row r="4" spans="1:41" ht="42" thickTop="1">
      <c r="A4" s="729" t="s">
        <v>122</v>
      </c>
      <c r="B4" s="730" t="s">
        <v>55</v>
      </c>
      <c r="C4" s="467" t="s">
        <v>391</v>
      </c>
      <c r="D4" s="467" t="s">
        <v>393</v>
      </c>
      <c r="E4" s="762" t="s">
        <v>481</v>
      </c>
      <c r="F4" s="467" t="s">
        <v>419</v>
      </c>
      <c r="G4" s="467" t="s">
        <v>395</v>
      </c>
      <c r="H4" s="467" t="s">
        <v>420</v>
      </c>
      <c r="I4" s="573" t="s">
        <v>272</v>
      </c>
      <c r="J4" s="468" t="s">
        <v>308</v>
      </c>
      <c r="K4" s="574" t="s">
        <v>273</v>
      </c>
      <c r="L4" s="110" t="s">
        <v>133</v>
      </c>
      <c r="AF4" s="467" t="s">
        <v>391</v>
      </c>
      <c r="AG4" s="467" t="s">
        <v>393</v>
      </c>
      <c r="AH4" s="762" t="s">
        <v>481</v>
      </c>
      <c r="AI4" s="467" t="s">
        <v>419</v>
      </c>
      <c r="AJ4" s="467" t="s">
        <v>395</v>
      </c>
      <c r="AK4" s="467" t="s">
        <v>420</v>
      </c>
      <c r="AL4" s="573" t="s">
        <v>272</v>
      </c>
      <c r="AM4" s="468" t="s">
        <v>308</v>
      </c>
      <c r="AN4" s="574" t="s">
        <v>273</v>
      </c>
      <c r="AO4" s="110" t="s">
        <v>133</v>
      </c>
    </row>
    <row r="5" spans="1:41" ht="14.25" customHeight="1" thickBot="1">
      <c r="A5" s="731" t="s">
        <v>478</v>
      </c>
      <c r="B5" s="111"/>
      <c r="C5" s="469" t="s">
        <v>392</v>
      </c>
      <c r="D5" s="469" t="s">
        <v>394</v>
      </c>
      <c r="E5" s="469" t="s">
        <v>482</v>
      </c>
      <c r="F5" s="469" t="s">
        <v>421</v>
      </c>
      <c r="G5" s="469" t="s">
        <v>396</v>
      </c>
      <c r="H5" s="469" t="s">
        <v>422</v>
      </c>
      <c r="I5" s="470" t="s">
        <v>252</v>
      </c>
      <c r="J5" s="470" t="s">
        <v>253</v>
      </c>
      <c r="K5" s="470" t="s">
        <v>254</v>
      </c>
      <c r="L5" s="112" t="s">
        <v>91</v>
      </c>
      <c r="AF5" s="469" t="s">
        <v>392</v>
      </c>
      <c r="AG5" s="469" t="s">
        <v>394</v>
      </c>
      <c r="AH5" s="469" t="s">
        <v>482</v>
      </c>
      <c r="AI5" s="469" t="s">
        <v>421</v>
      </c>
      <c r="AJ5" s="469" t="s">
        <v>396</v>
      </c>
      <c r="AK5" s="469" t="s">
        <v>422</v>
      </c>
      <c r="AL5" s="470" t="s">
        <v>252</v>
      </c>
      <c r="AM5" s="470" t="s">
        <v>253</v>
      </c>
      <c r="AN5" s="470" t="s">
        <v>254</v>
      </c>
      <c r="AO5" s="112" t="s">
        <v>91</v>
      </c>
    </row>
    <row r="6" spans="1:42" ht="12.75" customHeight="1" thickTop="1">
      <c r="A6" s="20" t="str">
        <f>'t1'!A6</f>
        <v>AVVOCATO GENERALE</v>
      </c>
      <c r="B6" s="217" t="str">
        <f>'t1'!B6</f>
        <v>0D0381</v>
      </c>
      <c r="C6" s="749">
        <f>ROUND(AF6,0)</f>
        <v>0</v>
      </c>
      <c r="D6" s="749">
        <f aca="true" t="shared" si="0" ref="D6:E13">ROUND(AG6,0)</f>
        <v>0</v>
      </c>
      <c r="E6" s="749">
        <f t="shared" si="0"/>
        <v>0</v>
      </c>
      <c r="F6" s="747">
        <f aca="true" t="shared" si="1" ref="F6:F13">ROUND(AI6,0)</f>
        <v>0</v>
      </c>
      <c r="G6" s="750">
        <f aca="true" t="shared" si="2" ref="G6:G13">ROUND(AJ6,0)</f>
        <v>0</v>
      </c>
      <c r="H6" s="750">
        <f aca="true" t="shared" si="3" ref="H6:H13">ROUND(AK6,0)</f>
        <v>0</v>
      </c>
      <c r="I6" s="750">
        <f aca="true" t="shared" si="4" ref="I6:I13">ROUND(AL6,0)</f>
        <v>0</v>
      </c>
      <c r="J6" s="750">
        <f aca="true" t="shared" si="5" ref="J6:J13">ROUND(AM6,0)</f>
        <v>0</v>
      </c>
      <c r="K6" s="750">
        <f aca="true" t="shared" si="6" ref="K6:K13">ROUND(AN6,0)</f>
        <v>0</v>
      </c>
      <c r="L6" s="462">
        <f aca="true" t="shared" si="7" ref="L6:L13">SUM(C6:K6)</f>
        <v>0</v>
      </c>
      <c r="M6" s="5">
        <f>'t1'!M6</f>
        <v>0</v>
      </c>
      <c r="AF6" s="197"/>
      <c r="AG6" s="197"/>
      <c r="AH6" s="194"/>
      <c r="AI6" s="194"/>
      <c r="AJ6" s="198"/>
      <c r="AK6" s="198"/>
      <c r="AL6" s="198"/>
      <c r="AM6" s="198"/>
      <c r="AN6" s="198"/>
      <c r="AO6" s="462">
        <f aca="true" t="shared" si="8" ref="AO6:AO13">SUM(AF6:AN6)</f>
        <v>0</v>
      </c>
      <c r="AP6" s="5">
        <f>'t1'!AK6</f>
        <v>0</v>
      </c>
    </row>
    <row r="7" spans="1:42" ht="12.75" customHeight="1">
      <c r="A7" s="141" t="str">
        <f>'t1'!A7</f>
        <v>AVVOCATO GENERALE AGGIUNTO</v>
      </c>
      <c r="B7" s="210" t="str">
        <f>'t1'!B7</f>
        <v>0D0845</v>
      </c>
      <c r="C7" s="749">
        <f aca="true" t="shared" si="9" ref="C7:C13">ROUND(AF7,0)</f>
        <v>0</v>
      </c>
      <c r="D7" s="749">
        <f t="shared" si="0"/>
        <v>0</v>
      </c>
      <c r="E7" s="749">
        <f t="shared" si="0"/>
        <v>0</v>
      </c>
      <c r="F7" s="747">
        <f t="shared" si="1"/>
        <v>0</v>
      </c>
      <c r="G7" s="750">
        <f t="shared" si="2"/>
        <v>0</v>
      </c>
      <c r="H7" s="750">
        <f t="shared" si="3"/>
        <v>0</v>
      </c>
      <c r="I7" s="750">
        <f t="shared" si="4"/>
        <v>0</v>
      </c>
      <c r="J7" s="750">
        <f t="shared" si="5"/>
        <v>0</v>
      </c>
      <c r="K7" s="750">
        <f t="shared" si="6"/>
        <v>0</v>
      </c>
      <c r="L7" s="462">
        <f t="shared" si="7"/>
        <v>0</v>
      </c>
      <c r="M7" s="5">
        <f>'t1'!M7</f>
        <v>0</v>
      </c>
      <c r="AF7" s="197"/>
      <c r="AG7" s="197"/>
      <c r="AH7" s="194"/>
      <c r="AI7" s="194"/>
      <c r="AJ7" s="198"/>
      <c r="AK7" s="198"/>
      <c r="AL7" s="198"/>
      <c r="AM7" s="198"/>
      <c r="AN7" s="198"/>
      <c r="AO7" s="462">
        <f t="shared" si="8"/>
        <v>0</v>
      </c>
      <c r="AP7" s="5">
        <f>'t1'!AK7</f>
        <v>0</v>
      </c>
    </row>
    <row r="8" spans="1:42" ht="12.75" customHeight="1">
      <c r="A8" s="141" t="str">
        <f>'t1'!A8</f>
        <v>AVVOCATO IV CLASSE</v>
      </c>
      <c r="B8" s="210" t="str">
        <f>'t1'!B8</f>
        <v>0D0380</v>
      </c>
      <c r="C8" s="749">
        <f t="shared" si="9"/>
        <v>0</v>
      </c>
      <c r="D8" s="749">
        <f t="shared" si="0"/>
        <v>0</v>
      </c>
      <c r="E8" s="749">
        <f t="shared" si="0"/>
        <v>0</v>
      </c>
      <c r="F8" s="747">
        <f t="shared" si="1"/>
        <v>0</v>
      </c>
      <c r="G8" s="750">
        <f t="shared" si="2"/>
        <v>0</v>
      </c>
      <c r="H8" s="750">
        <f t="shared" si="3"/>
        <v>0</v>
      </c>
      <c r="I8" s="750">
        <f t="shared" si="4"/>
        <v>0</v>
      </c>
      <c r="J8" s="750">
        <f t="shared" si="5"/>
        <v>0</v>
      </c>
      <c r="K8" s="750">
        <f t="shared" si="6"/>
        <v>0</v>
      </c>
      <c r="L8" s="462">
        <f t="shared" si="7"/>
        <v>0</v>
      </c>
      <c r="M8" s="5">
        <f>'t1'!M8</f>
        <v>0</v>
      </c>
      <c r="AF8" s="197"/>
      <c r="AG8" s="197"/>
      <c r="AH8" s="194"/>
      <c r="AI8" s="194"/>
      <c r="AJ8" s="198"/>
      <c r="AK8" s="198"/>
      <c r="AL8" s="198"/>
      <c r="AM8" s="198"/>
      <c r="AN8" s="198"/>
      <c r="AO8" s="462">
        <f t="shared" si="8"/>
        <v>0</v>
      </c>
      <c r="AP8" s="5">
        <f>'t1'!AK8</f>
        <v>0</v>
      </c>
    </row>
    <row r="9" spans="1:42" ht="12.75" customHeight="1">
      <c r="A9" s="141" t="str">
        <f>'t1'!A9</f>
        <v>AVVOCATO III CLASSE</v>
      </c>
      <c r="B9" s="210" t="str">
        <f>'t1'!B9</f>
        <v>0D0379</v>
      </c>
      <c r="C9" s="749">
        <f t="shared" si="9"/>
        <v>0</v>
      </c>
      <c r="D9" s="749">
        <f t="shared" si="0"/>
        <v>0</v>
      </c>
      <c r="E9" s="749">
        <f t="shared" si="0"/>
        <v>0</v>
      </c>
      <c r="F9" s="747">
        <f t="shared" si="1"/>
        <v>0</v>
      </c>
      <c r="G9" s="750">
        <f t="shared" si="2"/>
        <v>0</v>
      </c>
      <c r="H9" s="750">
        <f t="shared" si="3"/>
        <v>0</v>
      </c>
      <c r="I9" s="750">
        <f t="shared" si="4"/>
        <v>0</v>
      </c>
      <c r="J9" s="750">
        <f t="shared" si="5"/>
        <v>0</v>
      </c>
      <c r="K9" s="750">
        <f t="shared" si="6"/>
        <v>0</v>
      </c>
      <c r="L9" s="462">
        <f t="shared" si="7"/>
        <v>0</v>
      </c>
      <c r="M9" s="5">
        <f>'t1'!M9</f>
        <v>0</v>
      </c>
      <c r="AF9" s="197"/>
      <c r="AG9" s="197"/>
      <c r="AH9" s="194"/>
      <c r="AI9" s="194"/>
      <c r="AJ9" s="198"/>
      <c r="AK9" s="198"/>
      <c r="AL9" s="198"/>
      <c r="AM9" s="198"/>
      <c r="AN9" s="198"/>
      <c r="AO9" s="462">
        <f t="shared" si="8"/>
        <v>0</v>
      </c>
      <c r="AP9" s="5">
        <f>'t1'!AK9</f>
        <v>0</v>
      </c>
    </row>
    <row r="10" spans="1:42" ht="12.75" customHeight="1">
      <c r="A10" s="141" t="str">
        <f>'t1'!A10</f>
        <v>AVVOCATO II CLASSE ED EQUIP.</v>
      </c>
      <c r="B10" s="210" t="str">
        <f>'t1'!B10</f>
        <v>0D0A2E</v>
      </c>
      <c r="C10" s="749">
        <f t="shared" si="9"/>
        <v>0</v>
      </c>
      <c r="D10" s="749">
        <f t="shared" si="0"/>
        <v>0</v>
      </c>
      <c r="E10" s="749">
        <f t="shared" si="0"/>
        <v>0</v>
      </c>
      <c r="F10" s="747">
        <f t="shared" si="1"/>
        <v>0</v>
      </c>
      <c r="G10" s="750">
        <f t="shared" si="2"/>
        <v>0</v>
      </c>
      <c r="H10" s="750">
        <f t="shared" si="3"/>
        <v>0</v>
      </c>
      <c r="I10" s="750">
        <f t="shared" si="4"/>
        <v>0</v>
      </c>
      <c r="J10" s="750">
        <f t="shared" si="5"/>
        <v>0</v>
      </c>
      <c r="K10" s="750">
        <f t="shared" si="6"/>
        <v>0</v>
      </c>
      <c r="L10" s="462">
        <f t="shared" si="7"/>
        <v>0</v>
      </c>
      <c r="M10" s="5">
        <f>'t1'!M10</f>
        <v>0</v>
      </c>
      <c r="AF10" s="197"/>
      <c r="AG10" s="197"/>
      <c r="AH10" s="194"/>
      <c r="AI10" s="194"/>
      <c r="AJ10" s="198"/>
      <c r="AK10" s="198"/>
      <c r="AL10" s="198"/>
      <c r="AM10" s="198"/>
      <c r="AN10" s="198"/>
      <c r="AO10" s="462">
        <f t="shared" si="8"/>
        <v>0</v>
      </c>
      <c r="AP10" s="5">
        <f>'t1'!AK10</f>
        <v>0</v>
      </c>
    </row>
    <row r="11" spans="1:42" ht="12.75" customHeight="1">
      <c r="A11" s="141" t="str">
        <f>'t1'!A11</f>
        <v>AVVOCATO I CLASSE ED EQUIP.</v>
      </c>
      <c r="B11" s="210" t="str">
        <f>'t1'!B11</f>
        <v>0D0A1E</v>
      </c>
      <c r="C11" s="749">
        <f t="shared" si="9"/>
        <v>0</v>
      </c>
      <c r="D11" s="749">
        <f t="shared" si="0"/>
        <v>0</v>
      </c>
      <c r="E11" s="749">
        <f t="shared" si="0"/>
        <v>0</v>
      </c>
      <c r="F11" s="747">
        <f t="shared" si="1"/>
        <v>0</v>
      </c>
      <c r="G11" s="750">
        <f t="shared" si="2"/>
        <v>0</v>
      </c>
      <c r="H11" s="750">
        <f t="shared" si="3"/>
        <v>0</v>
      </c>
      <c r="I11" s="750">
        <f t="shared" si="4"/>
        <v>0</v>
      </c>
      <c r="J11" s="750">
        <f t="shared" si="5"/>
        <v>0</v>
      </c>
      <c r="K11" s="750">
        <f t="shared" si="6"/>
        <v>0</v>
      </c>
      <c r="L11" s="462">
        <f t="shared" si="7"/>
        <v>0</v>
      </c>
      <c r="M11" s="5">
        <f>'t1'!M11</f>
        <v>0</v>
      </c>
      <c r="AF11" s="197"/>
      <c r="AG11" s="197"/>
      <c r="AH11" s="194"/>
      <c r="AI11" s="194"/>
      <c r="AJ11" s="198"/>
      <c r="AK11" s="198"/>
      <c r="AL11" s="198"/>
      <c r="AM11" s="198"/>
      <c r="AN11" s="198"/>
      <c r="AO11" s="462">
        <f t="shared" si="8"/>
        <v>0</v>
      </c>
      <c r="AP11" s="5">
        <f>'t1'!AK11</f>
        <v>0</v>
      </c>
    </row>
    <row r="12" spans="1:42" ht="12.75" customHeight="1">
      <c r="A12" s="141" t="str">
        <f>'t1'!A12</f>
        <v>PROCURATORE II CLASSE</v>
      </c>
      <c r="B12" s="210" t="str">
        <f>'t1'!B12</f>
        <v>0D0383</v>
      </c>
      <c r="C12" s="749">
        <f t="shared" si="9"/>
        <v>0</v>
      </c>
      <c r="D12" s="749">
        <f t="shared" si="0"/>
        <v>0</v>
      </c>
      <c r="E12" s="749">
        <f t="shared" si="0"/>
        <v>0</v>
      </c>
      <c r="F12" s="747">
        <f t="shared" si="1"/>
        <v>0</v>
      </c>
      <c r="G12" s="750">
        <f t="shared" si="2"/>
        <v>0</v>
      </c>
      <c r="H12" s="750">
        <f t="shared" si="3"/>
        <v>0</v>
      </c>
      <c r="I12" s="750">
        <f t="shared" si="4"/>
        <v>0</v>
      </c>
      <c r="J12" s="750">
        <f t="shared" si="5"/>
        <v>0</v>
      </c>
      <c r="K12" s="750">
        <f t="shared" si="6"/>
        <v>0</v>
      </c>
      <c r="L12" s="462">
        <f t="shared" si="7"/>
        <v>0</v>
      </c>
      <c r="M12" s="5">
        <f>'t1'!M12</f>
        <v>0</v>
      </c>
      <c r="AF12" s="197"/>
      <c r="AG12" s="197"/>
      <c r="AH12" s="194"/>
      <c r="AI12" s="194"/>
      <c r="AJ12" s="198"/>
      <c r="AK12" s="198"/>
      <c r="AL12" s="198"/>
      <c r="AM12" s="198"/>
      <c r="AN12" s="198"/>
      <c r="AO12" s="462">
        <f t="shared" si="8"/>
        <v>0</v>
      </c>
      <c r="AP12" s="5">
        <f>'t1'!AK12</f>
        <v>0</v>
      </c>
    </row>
    <row r="13" spans="1:42" ht="12.75" customHeight="1" thickBot="1">
      <c r="A13" s="141" t="str">
        <f>'t1'!A13</f>
        <v>PROCURATORE I CLASSE</v>
      </c>
      <c r="B13" s="210" t="str">
        <f>'t1'!B13</f>
        <v>0D0382</v>
      </c>
      <c r="C13" s="749">
        <f t="shared" si="9"/>
        <v>0</v>
      </c>
      <c r="D13" s="749">
        <f t="shared" si="0"/>
        <v>0</v>
      </c>
      <c r="E13" s="749">
        <f t="shared" si="0"/>
        <v>0</v>
      </c>
      <c r="F13" s="747">
        <f t="shared" si="1"/>
        <v>0</v>
      </c>
      <c r="G13" s="750">
        <f t="shared" si="2"/>
        <v>0</v>
      </c>
      <c r="H13" s="750">
        <f t="shared" si="3"/>
        <v>0</v>
      </c>
      <c r="I13" s="750">
        <f t="shared" si="4"/>
        <v>0</v>
      </c>
      <c r="J13" s="750">
        <f t="shared" si="5"/>
        <v>0</v>
      </c>
      <c r="K13" s="750">
        <f t="shared" si="6"/>
        <v>0</v>
      </c>
      <c r="L13" s="462">
        <f t="shared" si="7"/>
        <v>0</v>
      </c>
      <c r="M13" s="5">
        <f>'t1'!M13</f>
        <v>0</v>
      </c>
      <c r="AF13" s="197"/>
      <c r="AG13" s="197"/>
      <c r="AH13" s="194"/>
      <c r="AI13" s="194"/>
      <c r="AJ13" s="198"/>
      <c r="AK13" s="198"/>
      <c r="AL13" s="198"/>
      <c r="AM13" s="198"/>
      <c r="AN13" s="198"/>
      <c r="AO13" s="462">
        <f t="shared" si="8"/>
        <v>0</v>
      </c>
      <c r="AP13" s="5">
        <f>'t1'!AK13</f>
        <v>0</v>
      </c>
    </row>
    <row r="14" spans="1:41" ht="15" customHeight="1" thickBot="1" thickTop="1">
      <c r="A14" s="151" t="s">
        <v>58</v>
      </c>
      <c r="B14" s="114"/>
      <c r="C14" s="461">
        <f>SUM(C6:C13)</f>
        <v>0</v>
      </c>
      <c r="D14" s="461">
        <f aca="true" t="shared" si="10" ref="D14:K14">SUM(D6:D13)</f>
        <v>0</v>
      </c>
      <c r="E14" s="461">
        <f t="shared" si="10"/>
        <v>0</v>
      </c>
      <c r="F14" s="461">
        <f t="shared" si="10"/>
        <v>0</v>
      </c>
      <c r="G14" s="461">
        <f t="shared" si="10"/>
        <v>0</v>
      </c>
      <c r="H14" s="461">
        <f t="shared" si="10"/>
        <v>0</v>
      </c>
      <c r="I14" s="461">
        <f t="shared" si="10"/>
        <v>0</v>
      </c>
      <c r="J14" s="461">
        <f t="shared" si="10"/>
        <v>0</v>
      </c>
      <c r="K14" s="461">
        <f t="shared" si="10"/>
        <v>0</v>
      </c>
      <c r="L14" s="459">
        <f>SUM(L6:L13)</f>
        <v>0</v>
      </c>
      <c r="AF14" s="461">
        <f>SUM(AF6:AF13)</f>
        <v>0</v>
      </c>
      <c r="AG14" s="461">
        <f aca="true" t="shared" si="11" ref="AG14:AN14">SUM(AG6:AG13)</f>
        <v>0</v>
      </c>
      <c r="AH14" s="461">
        <f t="shared" si="11"/>
        <v>0</v>
      </c>
      <c r="AI14" s="461">
        <f t="shared" si="11"/>
        <v>0</v>
      </c>
      <c r="AJ14" s="461">
        <f t="shared" si="11"/>
        <v>0</v>
      </c>
      <c r="AK14" s="461">
        <f t="shared" si="11"/>
        <v>0</v>
      </c>
      <c r="AL14" s="461">
        <f t="shared" si="11"/>
        <v>0</v>
      </c>
      <c r="AM14" s="461">
        <f t="shared" si="11"/>
        <v>0</v>
      </c>
      <c r="AN14" s="461">
        <f t="shared" si="11"/>
        <v>0</v>
      </c>
      <c r="AO14" s="459">
        <f>SUM(AO6:AO13)</f>
        <v>0</v>
      </c>
    </row>
    <row r="15" spans="1:45" ht="9.75">
      <c r="A15" s="21"/>
      <c r="L15" s="39"/>
      <c r="M15" s="39"/>
      <c r="N15" s="39"/>
      <c r="O15" s="39"/>
      <c r="P15" s="39"/>
      <c r="AO15" s="39"/>
      <c r="AP15" s="39"/>
      <c r="AQ15" s="39"/>
      <c r="AR15" s="39"/>
      <c r="AS15" s="39"/>
    </row>
    <row r="16" ht="9.75">
      <c r="A16" s="21"/>
    </row>
    <row r="17" spans="1:45" ht="9.75">
      <c r="A17" s="5" t="s">
        <v>161</v>
      </c>
      <c r="B17" s="56"/>
      <c r="C17" s="54"/>
      <c r="D17" s="54"/>
      <c r="E17" s="54"/>
      <c r="F17" s="54"/>
      <c r="G17" s="54"/>
      <c r="H17" s="54"/>
      <c r="I17" s="54"/>
      <c r="J17" s="54"/>
      <c r="K17" s="54"/>
      <c r="L17" s="54"/>
      <c r="M17" s="54"/>
      <c r="N17" s="54"/>
      <c r="O17" s="54"/>
      <c r="P17" s="54"/>
      <c r="AF17" s="54"/>
      <c r="AG17" s="54"/>
      <c r="AH17" s="54"/>
      <c r="AI17" s="54"/>
      <c r="AJ17" s="54"/>
      <c r="AK17" s="54"/>
      <c r="AL17" s="54"/>
      <c r="AM17" s="54"/>
      <c r="AN17" s="54"/>
      <c r="AO17" s="54"/>
      <c r="AP17" s="54"/>
      <c r="AQ17" s="54"/>
      <c r="AR17" s="54"/>
      <c r="AS17" s="54"/>
    </row>
    <row r="18" ht="9.75">
      <c r="A18" s="143"/>
    </row>
    <row r="19" ht="9.75">
      <c r="A19" s="143"/>
    </row>
    <row r="20" ht="9.75">
      <c r="A20" s="3"/>
    </row>
  </sheetData>
  <sheetProtection password="EA98" sheet="1" formatColumns="0" selectLockedCells="1"/>
  <mergeCells count="1">
    <mergeCell ref="A1:AO1"/>
  </mergeCells>
  <conditionalFormatting sqref="A6:L13 AF6:AO13">
    <cfRule type="expression" priority="2" dxfId="4" stopIfTrue="1">
      <formula>$M6&gt;0</formula>
    </cfRule>
  </conditionalFormatting>
  <dataValidations count="1">
    <dataValidation type="whole" allowBlank="1" showInputMessage="1" showErrorMessage="1" errorTitle="ERRORE NEL DATO IMMESSO" error="INSERIRE SOLO NUMERI INTERI" sqref="C6:K13 AF6:AN13">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D29"/>
    </sheetView>
  </sheetViews>
  <sheetFormatPr defaultColWidth="9.33203125" defaultRowHeight="10.5"/>
  <cols>
    <col min="1" max="1" width="87.83203125" style="0" customWidth="1"/>
    <col min="2" max="2" width="18" style="0" customWidth="1"/>
    <col min="3" max="3" width="18" style="0" hidden="1" customWidth="1"/>
    <col min="4" max="4" width="26" style="0" customWidth="1"/>
    <col min="6" max="6" width="12.5" style="0" bestFit="1" customWidth="1"/>
    <col min="7" max="7" width="0" style="0" hidden="1" customWidth="1"/>
  </cols>
  <sheetData>
    <row r="1" spans="1:14" s="5" customFormat="1" ht="43.5" customHeight="1">
      <c r="A1" s="882" t="str">
        <f>'t1'!A1</f>
        <v>AVVOCATURA DI STATO - anno 2021</v>
      </c>
      <c r="B1" s="882"/>
      <c r="C1" s="882"/>
      <c r="D1" s="882"/>
      <c r="E1" s="3"/>
      <c r="F1" s="3"/>
      <c r="G1" s="3"/>
      <c r="H1" s="4"/>
      <c r="I1" s="3"/>
      <c r="J1" s="3"/>
      <c r="K1" s="3"/>
      <c r="L1" s="3"/>
      <c r="N1"/>
    </row>
    <row r="2" spans="1:4" ht="30" customHeight="1" thickBot="1">
      <c r="A2" s="6"/>
      <c r="B2" s="944">
        <f>IF(AND(A32="",(D25+D26+D27+D28+D29)&gt;0),"ATTENZIONE!  Inserire nel campo NOTE l'elenco delle Istituzioni ed il relativo importo dei rimborsi",IF(AND(A32&lt;&gt;"",(D25+D26+D27+D28+D29)=0),"ATTENZIONE!  il campo NOTE non deve essere compilato in assenza di rimborsi",""))</f>
      </c>
      <c r="C2" s="944"/>
      <c r="D2" s="944"/>
    </row>
    <row r="3" spans="1:4" ht="21.75" customHeight="1" thickBot="1">
      <c r="A3" s="102" t="s">
        <v>112</v>
      </c>
      <c r="B3" s="276" t="s">
        <v>86</v>
      </c>
      <c r="C3" s="751"/>
      <c r="D3" s="277" t="s">
        <v>87</v>
      </c>
    </row>
    <row r="4" spans="1:4" s="104" customFormat="1" ht="23.25" customHeight="1" thickTop="1">
      <c r="A4" s="103" t="s">
        <v>130</v>
      </c>
      <c r="B4" s="156" t="s">
        <v>134</v>
      </c>
      <c r="C4" s="760">
        <f>ROUND(D4,0)</f>
        <v>0</v>
      </c>
      <c r="D4" s="199"/>
    </row>
    <row r="5" spans="1:4" s="104" customFormat="1" ht="23.25" customHeight="1">
      <c r="A5" s="107" t="s">
        <v>332</v>
      </c>
      <c r="B5" s="157" t="s">
        <v>146</v>
      </c>
      <c r="C5" s="753">
        <f aca="true" t="shared" si="0" ref="C5:C29">ROUND(D5,0)</f>
        <v>0</v>
      </c>
      <c r="D5" s="199"/>
    </row>
    <row r="6" spans="1:4" s="104" customFormat="1" ht="23.25" customHeight="1">
      <c r="A6" s="107" t="s">
        <v>124</v>
      </c>
      <c r="B6" s="148" t="s">
        <v>147</v>
      </c>
      <c r="C6" s="752">
        <f t="shared" si="0"/>
        <v>0</v>
      </c>
      <c r="D6" s="199"/>
    </row>
    <row r="7" spans="1:4" s="104" customFormat="1" ht="23.25" customHeight="1">
      <c r="A7" s="107" t="s">
        <v>128</v>
      </c>
      <c r="B7" s="158" t="s">
        <v>148</v>
      </c>
      <c r="C7" s="753">
        <f t="shared" si="0"/>
        <v>0</v>
      </c>
      <c r="D7" s="199"/>
    </row>
    <row r="8" spans="1:4" s="104" customFormat="1" ht="23.25" customHeight="1">
      <c r="A8" s="108" t="s">
        <v>127</v>
      </c>
      <c r="B8" s="148" t="s">
        <v>149</v>
      </c>
      <c r="C8" s="752">
        <f t="shared" si="0"/>
        <v>0</v>
      </c>
      <c r="D8" s="199"/>
    </row>
    <row r="9" spans="1:4" s="104" customFormat="1" ht="23.25" customHeight="1">
      <c r="A9" s="126" t="s">
        <v>126</v>
      </c>
      <c r="B9" s="158" t="s">
        <v>150</v>
      </c>
      <c r="C9" s="753">
        <f t="shared" si="0"/>
        <v>0</v>
      </c>
      <c r="D9" s="200"/>
    </row>
    <row r="10" spans="1:4" s="104" customFormat="1" ht="23.25" customHeight="1">
      <c r="A10" s="159" t="s">
        <v>333</v>
      </c>
      <c r="B10" s="148" t="s">
        <v>138</v>
      </c>
      <c r="C10" s="752">
        <f t="shared" si="0"/>
        <v>0</v>
      </c>
      <c r="D10" s="199"/>
    </row>
    <row r="11" spans="1:4" s="104" customFormat="1" ht="23.25" customHeight="1">
      <c r="A11" s="108" t="s">
        <v>151</v>
      </c>
      <c r="B11" s="147" t="s">
        <v>152</v>
      </c>
      <c r="C11" s="752">
        <f t="shared" si="0"/>
        <v>0</v>
      </c>
      <c r="D11" s="199"/>
    </row>
    <row r="12" spans="1:4" s="104" customFormat="1" ht="23.25" customHeight="1">
      <c r="A12" s="108" t="s">
        <v>45</v>
      </c>
      <c r="B12" s="147" t="s">
        <v>154</v>
      </c>
      <c r="C12" s="752">
        <f t="shared" si="0"/>
        <v>0</v>
      </c>
      <c r="D12" s="199"/>
    </row>
    <row r="13" spans="1:4" s="104" customFormat="1" ht="23.25" customHeight="1">
      <c r="A13" s="108" t="s">
        <v>334</v>
      </c>
      <c r="B13" s="148" t="s">
        <v>164</v>
      </c>
      <c r="C13" s="752">
        <f t="shared" si="0"/>
        <v>0</v>
      </c>
      <c r="D13" s="199"/>
    </row>
    <row r="14" spans="1:4" s="104" customFormat="1" ht="23.25" customHeight="1">
      <c r="A14" s="108" t="s">
        <v>0</v>
      </c>
      <c r="B14" s="148" t="s">
        <v>1</v>
      </c>
      <c r="C14" s="752">
        <f t="shared" si="0"/>
        <v>0</v>
      </c>
      <c r="D14" s="199"/>
    </row>
    <row r="15" spans="1:4" s="104" customFormat="1" ht="23.25" customHeight="1">
      <c r="A15" s="126" t="s">
        <v>89</v>
      </c>
      <c r="B15" s="158" t="s">
        <v>153</v>
      </c>
      <c r="C15" s="753">
        <f t="shared" si="0"/>
        <v>0</v>
      </c>
      <c r="D15" s="200"/>
    </row>
    <row r="16" spans="1:4" s="104" customFormat="1" ht="23.25" customHeight="1">
      <c r="A16" s="159" t="s">
        <v>335</v>
      </c>
      <c r="B16" s="157" t="s">
        <v>135</v>
      </c>
      <c r="C16" s="754">
        <f t="shared" si="0"/>
        <v>0</v>
      </c>
      <c r="D16" s="200"/>
    </row>
    <row r="17" spans="1:4" s="104" customFormat="1" ht="23.25" customHeight="1">
      <c r="A17" s="109" t="s">
        <v>336</v>
      </c>
      <c r="B17" s="148" t="s">
        <v>136</v>
      </c>
      <c r="C17" s="752">
        <f t="shared" si="0"/>
        <v>0</v>
      </c>
      <c r="D17" s="199"/>
    </row>
    <row r="18" spans="1:4" s="106" customFormat="1" ht="23.25" customHeight="1">
      <c r="A18" s="105" t="s">
        <v>125</v>
      </c>
      <c r="B18" s="147" t="s">
        <v>145</v>
      </c>
      <c r="C18" s="752">
        <f t="shared" si="0"/>
        <v>0</v>
      </c>
      <c r="D18" s="200"/>
    </row>
    <row r="19" spans="1:4" s="106" customFormat="1" ht="23.25" customHeight="1">
      <c r="A19" s="721" t="s">
        <v>463</v>
      </c>
      <c r="B19" s="722" t="s">
        <v>464</v>
      </c>
      <c r="C19" s="755">
        <f t="shared" si="0"/>
        <v>0</v>
      </c>
      <c r="D19" s="199"/>
    </row>
    <row r="20" spans="1:7" s="5" customFormat="1" ht="23.25" customHeight="1">
      <c r="A20" s="103" t="s">
        <v>337</v>
      </c>
      <c r="B20" s="148" t="s">
        <v>141</v>
      </c>
      <c r="C20" s="752">
        <f t="shared" si="0"/>
        <v>0</v>
      </c>
      <c r="D20" s="199"/>
      <c r="G20" s="717" t="s">
        <v>460</v>
      </c>
    </row>
    <row r="21" spans="1:7" s="106" customFormat="1" ht="23.25" customHeight="1">
      <c r="A21" s="103" t="s">
        <v>338</v>
      </c>
      <c r="B21" s="158" t="s">
        <v>142</v>
      </c>
      <c r="C21" s="753">
        <f t="shared" si="0"/>
        <v>0</v>
      </c>
      <c r="D21" s="199"/>
      <c r="G21" s="718" t="s">
        <v>461</v>
      </c>
    </row>
    <row r="22" spans="1:7" s="106" customFormat="1" ht="23.25" customHeight="1">
      <c r="A22" s="103" t="s">
        <v>88</v>
      </c>
      <c r="B22" s="148" t="s">
        <v>143</v>
      </c>
      <c r="C22" s="752">
        <f t="shared" si="0"/>
        <v>0</v>
      </c>
      <c r="D22" s="199"/>
      <c r="F22" s="719" t="s">
        <v>462</v>
      </c>
      <c r="G22" s="720">
        <v>2</v>
      </c>
    </row>
    <row r="23" spans="1:4" s="106" customFormat="1" ht="23.25" customHeight="1">
      <c r="A23" s="103" t="s">
        <v>339</v>
      </c>
      <c r="B23" s="158" t="s">
        <v>137</v>
      </c>
      <c r="C23" s="753">
        <f t="shared" si="0"/>
        <v>0</v>
      </c>
      <c r="D23" s="199"/>
    </row>
    <row r="24" spans="1:4" s="106" customFormat="1" ht="23.25" customHeight="1">
      <c r="A24" s="725" t="s">
        <v>471</v>
      </c>
      <c r="B24" s="148" t="s">
        <v>139</v>
      </c>
      <c r="C24" s="756">
        <f t="shared" si="0"/>
        <v>0</v>
      </c>
      <c r="D24" s="201"/>
    </row>
    <row r="25" spans="1:4" s="106" customFormat="1" ht="23.25" customHeight="1">
      <c r="A25" s="160" t="s">
        <v>352</v>
      </c>
      <c r="B25" s="147" t="s">
        <v>140</v>
      </c>
      <c r="C25" s="757">
        <f t="shared" si="0"/>
        <v>0</v>
      </c>
      <c r="D25" s="201"/>
    </row>
    <row r="26" spans="1:4" s="106" customFormat="1" ht="23.25" customHeight="1">
      <c r="A26" s="160" t="s">
        <v>353</v>
      </c>
      <c r="B26" s="147" t="s">
        <v>354</v>
      </c>
      <c r="C26" s="757">
        <f t="shared" si="0"/>
        <v>0</v>
      </c>
      <c r="D26" s="201"/>
    </row>
    <row r="27" spans="1:4" s="106" customFormat="1" ht="23.25" customHeight="1">
      <c r="A27" s="595" t="s">
        <v>378</v>
      </c>
      <c r="B27" s="147" t="s">
        <v>341</v>
      </c>
      <c r="C27" s="757">
        <f t="shared" si="0"/>
        <v>0</v>
      </c>
      <c r="D27" s="201"/>
    </row>
    <row r="28" spans="1:4" s="106" customFormat="1" ht="23.25" customHeight="1">
      <c r="A28" s="594" t="s">
        <v>377</v>
      </c>
      <c r="B28" s="148" t="s">
        <v>144</v>
      </c>
      <c r="C28" s="758">
        <f t="shared" si="0"/>
        <v>0</v>
      </c>
      <c r="D28" s="200"/>
    </row>
    <row r="29" spans="1:4" s="106" customFormat="1" ht="23.25" customHeight="1" thickBot="1">
      <c r="A29" s="597" t="s">
        <v>379</v>
      </c>
      <c r="B29" s="149" t="s">
        <v>355</v>
      </c>
      <c r="C29" s="759">
        <f t="shared" si="0"/>
        <v>0</v>
      </c>
      <c r="D29" s="202"/>
    </row>
    <row r="30" spans="1:4" s="106" customFormat="1" ht="15" customHeight="1" thickBot="1">
      <c r="A30" s="951" t="str">
        <f>IF(G22=1,"ATTENZIONE è stata dichiarata IRAP commerciale. Controllare l'importo inserito!"," ")</f>
        <v> </v>
      </c>
      <c r="B30" s="951"/>
      <c r="C30" s="951"/>
      <c r="D30" s="951"/>
    </row>
    <row r="31" spans="1:4" s="106" customFormat="1" ht="15" customHeight="1">
      <c r="A31" s="948" t="s">
        <v>450</v>
      </c>
      <c r="B31" s="949"/>
      <c r="C31" s="949"/>
      <c r="D31" s="950"/>
    </row>
    <row r="32" spans="1:8" s="106" customFormat="1" ht="94.5" customHeight="1" thickBot="1">
      <c r="A32" s="945"/>
      <c r="B32" s="946"/>
      <c r="C32" s="946"/>
      <c r="D32" s="947"/>
      <c r="E32" s="952">
        <f>IF(AND(A32="",(D25+D26)&gt;0),"ATTENZIONE!  Inserire nel campo NOTE l'elenco delle Istituzioni ed il relativo importo dei rimborsi EFFETTUATI!",IF(AND(A32&lt;&gt;"",(D25+D26)=0),"ATTENZIONE!  il campo NOTE non deve essere compilato in assenza di rimborsi",""))</f>
      </c>
      <c r="F32" s="953"/>
      <c r="G32" s="953"/>
      <c r="H32" s="953"/>
    </row>
    <row r="33" spans="1:4" s="106" customFormat="1" ht="15" customHeight="1" thickBot="1">
      <c r="A33" s="951"/>
      <c r="B33" s="951"/>
      <c r="C33" s="951"/>
      <c r="D33" s="951"/>
    </row>
    <row r="34" spans="1:4" s="106" customFormat="1" ht="15" customHeight="1">
      <c r="A34" s="948" t="s">
        <v>451</v>
      </c>
      <c r="B34" s="949"/>
      <c r="C34" s="949"/>
      <c r="D34" s="950"/>
    </row>
    <row r="35" spans="1:8" s="106" customFormat="1" ht="94.5" customHeight="1" thickBot="1">
      <c r="A35" s="945"/>
      <c r="B35" s="946"/>
      <c r="C35" s="946"/>
      <c r="D35" s="947"/>
      <c r="E35" s="952">
        <f>IF(AND(A35="",(D27+D28+D29)&gt;0),"ATTENZIONE!  Inserire nel campo NOTE l'elenco delle Istituzioni ed il relativo importo dei rimborsi RICEVUTI!",IF(AND(A35&lt;&gt;"",(D27+D28+D29)=0),"ATTENZIONE!  il campo NOTE non deve essere compilato in assenza di rimborsi",""))</f>
      </c>
      <c r="F35" s="953"/>
      <c r="G35" s="953"/>
      <c r="H35" s="953"/>
    </row>
    <row r="36" spans="1:3" s="106" customFormat="1" ht="23.25" customHeight="1">
      <c r="A36" s="5" t="s">
        <v>380</v>
      </c>
      <c r="B36"/>
      <c r="C36"/>
    </row>
    <row r="37" spans="1:4" ht="25.5" customHeight="1">
      <c r="A37" s="954" t="s">
        <v>452</v>
      </c>
      <c r="B37" s="954"/>
      <c r="C37" s="954"/>
      <c r="D37" s="954"/>
    </row>
    <row r="38" spans="1:4" ht="25.5" customHeight="1">
      <c r="A38" s="954" t="s">
        <v>453</v>
      </c>
      <c r="B38" s="954"/>
      <c r="C38" s="954"/>
      <c r="D38" s="954"/>
    </row>
    <row r="53" ht="9.75">
      <c r="A53" s="596"/>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dimension ref="A1:L43"/>
  <sheetViews>
    <sheetView zoomScalePageLayoutView="0" workbookViewId="0" topLeftCell="A1">
      <pane ySplit="3" topLeftCell="A4" activePane="bottomLeft" state="frozen"/>
      <selection pane="topLeft" activeCell="A1" sqref="A1"/>
      <selection pane="bottomLeft" activeCell="C4" sqref="C4:C6"/>
    </sheetView>
  </sheetViews>
  <sheetFormatPr defaultColWidth="9.33203125" defaultRowHeight="10.5"/>
  <cols>
    <col min="1" max="1" width="87.83203125" style="350" customWidth="1"/>
    <col min="2" max="3" width="25.83203125" style="350" customWidth="1"/>
    <col min="4" max="4" width="60.83203125" style="350" customWidth="1"/>
    <col min="5" max="5" width="9.16015625" style="350" hidden="1" customWidth="1"/>
    <col min="6" max="6" width="10" style="350" customWidth="1"/>
    <col min="7" max="16384" width="9.16015625" style="350" customWidth="1"/>
  </cols>
  <sheetData>
    <row r="1" spans="1:12" s="349" customFormat="1" ht="43.5" customHeight="1">
      <c r="A1" s="882" t="str">
        <f>'t1'!A1</f>
        <v>AVVOCATURA DI STATO - anno 2021</v>
      </c>
      <c r="B1" s="882"/>
      <c r="C1" s="955"/>
      <c r="D1" s="955"/>
      <c r="E1" s="676"/>
      <c r="F1" s="4"/>
      <c r="G1" s="676"/>
      <c r="H1" s="676"/>
      <c r="I1" s="676"/>
      <c r="J1" s="676"/>
      <c r="L1" s="350"/>
    </row>
    <row r="2" spans="1:4" ht="30" customHeight="1" thickBot="1">
      <c r="A2" s="956" t="str">
        <f>IF(B30&gt;0,IF($E$31&gt;0," ","Attenzione: Compilare la presente Tabella"),IF(C30=0," "," "))</f>
        <v> </v>
      </c>
      <c r="B2" s="956"/>
      <c r="C2" s="957"/>
      <c r="D2" s="957"/>
    </row>
    <row r="3" spans="1:4" ht="21.75" customHeight="1" thickBot="1">
      <c r="A3" s="677" t="s">
        <v>431</v>
      </c>
      <c r="B3" s="678" t="s">
        <v>432</v>
      </c>
      <c r="C3" s="678" t="s">
        <v>448</v>
      </c>
      <c r="D3" s="679" t="s">
        <v>371</v>
      </c>
    </row>
    <row r="4" spans="1:5" s="683" customFormat="1" ht="23.25" customHeight="1">
      <c r="A4" s="680" t="s">
        <v>433</v>
      </c>
      <c r="B4" s="681">
        <f>'t12'!K14</f>
        <v>0</v>
      </c>
      <c r="C4" s="958"/>
      <c r="D4" s="960"/>
      <c r="E4" s="682" t="s">
        <v>434</v>
      </c>
    </row>
    <row r="5" spans="1:5" s="683" customFormat="1" ht="23.25" customHeight="1">
      <c r="A5" s="595" t="s">
        <v>435</v>
      </c>
      <c r="B5" s="684">
        <f>'t13'!L14</f>
        <v>0</v>
      </c>
      <c r="C5" s="959"/>
      <c r="D5" s="961"/>
      <c r="E5" s="682" t="s">
        <v>436</v>
      </c>
    </row>
    <row r="6" spans="1:5" s="683" customFormat="1" ht="23.25" customHeight="1">
      <c r="A6" s="595" t="s">
        <v>437</v>
      </c>
      <c r="B6" s="684">
        <f>'t14'!D4</f>
        <v>0</v>
      </c>
      <c r="C6" s="959"/>
      <c r="D6" s="961"/>
      <c r="E6" s="682" t="s">
        <v>436</v>
      </c>
    </row>
    <row r="7" spans="1:5" s="683" customFormat="1" ht="23.25" customHeight="1">
      <c r="A7" s="595" t="s">
        <v>438</v>
      </c>
      <c r="B7" s="801"/>
      <c r="C7" s="801"/>
      <c r="D7" s="802"/>
      <c r="E7" s="682" t="s">
        <v>146</v>
      </c>
    </row>
    <row r="8" spans="1:5" s="683" customFormat="1" ht="23.25" customHeight="1">
      <c r="A8" s="595" t="s">
        <v>124</v>
      </c>
      <c r="B8" s="805"/>
      <c r="C8" s="805"/>
      <c r="D8" s="806"/>
      <c r="E8" s="682" t="s">
        <v>147</v>
      </c>
    </row>
    <row r="9" spans="1:5" s="683" customFormat="1" ht="23.25" customHeight="1">
      <c r="A9" s="687" t="s">
        <v>128</v>
      </c>
      <c r="B9" s="805"/>
      <c r="C9" s="805"/>
      <c r="D9" s="806"/>
      <c r="E9" s="682" t="s">
        <v>148</v>
      </c>
    </row>
    <row r="10" spans="1:5" s="683" customFormat="1" ht="23.25" customHeight="1">
      <c r="A10" s="595" t="s">
        <v>127</v>
      </c>
      <c r="B10" s="805"/>
      <c r="C10" s="805"/>
      <c r="D10" s="806"/>
      <c r="E10" s="682" t="s">
        <v>149</v>
      </c>
    </row>
    <row r="11" spans="1:5" s="683" customFormat="1" ht="23.25" customHeight="1">
      <c r="A11" s="595" t="s">
        <v>126</v>
      </c>
      <c r="B11" s="805"/>
      <c r="C11" s="805"/>
      <c r="D11" s="806"/>
      <c r="E11" s="682" t="s">
        <v>150</v>
      </c>
    </row>
    <row r="12" spans="1:5" s="683" customFormat="1" ht="23.25" customHeight="1">
      <c r="A12" s="595" t="s">
        <v>454</v>
      </c>
      <c r="B12" s="805"/>
      <c r="C12" s="805"/>
      <c r="D12" s="806"/>
      <c r="E12" s="682" t="s">
        <v>138</v>
      </c>
    </row>
    <row r="13" spans="1:5" s="683" customFormat="1" ht="23.25" customHeight="1">
      <c r="A13" s="595" t="s">
        <v>455</v>
      </c>
      <c r="B13" s="805"/>
      <c r="C13" s="805"/>
      <c r="D13" s="806"/>
      <c r="E13" s="682" t="s">
        <v>137</v>
      </c>
    </row>
    <row r="14" spans="1:5" s="683" customFormat="1" ht="23.25" customHeight="1">
      <c r="A14" s="595" t="s">
        <v>151</v>
      </c>
      <c r="B14" s="803"/>
      <c r="C14" s="803"/>
      <c r="D14" s="804"/>
      <c r="E14" s="682" t="s">
        <v>152</v>
      </c>
    </row>
    <row r="15" spans="1:5" s="683" customFormat="1" ht="23.25" customHeight="1">
      <c r="A15" s="595" t="s">
        <v>45</v>
      </c>
      <c r="B15" s="688">
        <f>'t14'!D12</f>
        <v>0</v>
      </c>
      <c r="C15" s="685"/>
      <c r="D15" s="686"/>
      <c r="E15" s="682" t="s">
        <v>154</v>
      </c>
    </row>
    <row r="16" spans="1:5" s="683" customFormat="1" ht="23.25" customHeight="1">
      <c r="A16" s="595" t="s">
        <v>334</v>
      </c>
      <c r="B16" s="684">
        <f>'t14'!D13</f>
        <v>0</v>
      </c>
      <c r="C16" s="793"/>
      <c r="D16" s="794"/>
      <c r="E16" s="682" t="s">
        <v>164</v>
      </c>
    </row>
    <row r="17" spans="1:5" s="683" customFormat="1" ht="23.25" customHeight="1">
      <c r="A17" s="595" t="s">
        <v>439</v>
      </c>
      <c r="B17" s="801"/>
      <c r="C17" s="801"/>
      <c r="D17" s="802"/>
      <c r="E17" s="682" t="s">
        <v>1</v>
      </c>
    </row>
    <row r="18" spans="1:5" s="689" customFormat="1" ht="23.25" customHeight="1">
      <c r="A18" s="595" t="s">
        <v>89</v>
      </c>
      <c r="B18" s="803"/>
      <c r="C18" s="803"/>
      <c r="D18" s="804"/>
      <c r="E18" s="675" t="s">
        <v>153</v>
      </c>
    </row>
    <row r="19" spans="1:5" s="349" customFormat="1" ht="23.25" customHeight="1">
      <c r="A19" s="595" t="s">
        <v>456</v>
      </c>
      <c r="B19" s="684">
        <f>'t14'!D16</f>
        <v>0</v>
      </c>
      <c r="C19" s="795"/>
      <c r="D19" s="796"/>
      <c r="E19" s="690" t="s">
        <v>135</v>
      </c>
    </row>
    <row r="20" spans="1:5" s="689" customFormat="1" ht="23.25" customHeight="1">
      <c r="A20" s="595" t="s">
        <v>336</v>
      </c>
      <c r="B20" s="801"/>
      <c r="C20" s="801"/>
      <c r="D20" s="802"/>
      <c r="E20" s="682" t="s">
        <v>136</v>
      </c>
    </row>
    <row r="21" spans="1:5" s="689" customFormat="1" ht="23.25" customHeight="1">
      <c r="A21" s="595" t="s">
        <v>125</v>
      </c>
      <c r="B21" s="803"/>
      <c r="C21" s="803"/>
      <c r="D21" s="804"/>
      <c r="E21" s="682" t="s">
        <v>145</v>
      </c>
    </row>
    <row r="22" spans="1:5" s="689" customFormat="1" ht="23.25" customHeight="1">
      <c r="A22" s="595" t="s">
        <v>463</v>
      </c>
      <c r="B22" s="684">
        <f>'t14'!D19</f>
        <v>0</v>
      </c>
      <c r="C22" s="685"/>
      <c r="D22" s="686"/>
      <c r="E22" s="682" t="s">
        <v>464</v>
      </c>
    </row>
    <row r="23" spans="1:5" s="689" customFormat="1" ht="23.25" customHeight="1">
      <c r="A23" s="595" t="s">
        <v>440</v>
      </c>
      <c r="B23" s="684">
        <f>'t14'!D20</f>
        <v>0</v>
      </c>
      <c r="C23" s="685"/>
      <c r="D23" s="686"/>
      <c r="E23" s="682" t="s">
        <v>141</v>
      </c>
    </row>
    <row r="24" spans="1:5" s="689" customFormat="1" ht="23.25" customHeight="1">
      <c r="A24" s="595" t="s">
        <v>441</v>
      </c>
      <c r="B24" s="684">
        <f>'t14'!D22</f>
        <v>0</v>
      </c>
      <c r="C24" s="793"/>
      <c r="D24" s="794"/>
      <c r="E24" s="682" t="s">
        <v>143</v>
      </c>
    </row>
    <row r="25" spans="1:5" s="689" customFormat="1" ht="23.25" customHeight="1">
      <c r="A25" s="691" t="s">
        <v>457</v>
      </c>
      <c r="B25" s="799"/>
      <c r="C25" s="799"/>
      <c r="D25" s="800"/>
      <c r="E25" s="682" t="s">
        <v>139</v>
      </c>
    </row>
    <row r="26" spans="1:5" s="689" customFormat="1" ht="23.25" customHeight="1" thickBot="1">
      <c r="A26" s="597" t="s">
        <v>442</v>
      </c>
      <c r="B26" s="692">
        <f>'t14'!D25+'t14'!D26</f>
        <v>0</v>
      </c>
      <c r="C26" s="797"/>
      <c r="D26" s="798"/>
      <c r="E26" s="682" t="s">
        <v>443</v>
      </c>
    </row>
    <row r="27" spans="1:5" ht="15.75" customHeight="1" thickBot="1">
      <c r="A27" s="695" t="s">
        <v>444</v>
      </c>
      <c r="B27" s="696">
        <f>SUM(B4:B26)</f>
        <v>0</v>
      </c>
      <c r="C27" s="696">
        <f>SUM(C4:C26)</f>
        <v>0</v>
      </c>
      <c r="D27" s="697"/>
      <c r="E27" s="682" t="s">
        <v>436</v>
      </c>
    </row>
    <row r="28" spans="1:5" ht="15.75" customHeight="1">
      <c r="A28" s="698"/>
      <c r="B28" s="699"/>
      <c r="C28" s="698"/>
      <c r="D28" s="700"/>
      <c r="E28" s="682" t="s">
        <v>436</v>
      </c>
    </row>
    <row r="29" spans="1:5" s="689" customFormat="1" ht="23.25" customHeight="1" thickBot="1">
      <c r="A29" s="701" t="s">
        <v>445</v>
      </c>
      <c r="B29" s="684">
        <f>'t14'!D27+'t14'!D28+'t14'!D29</f>
        <v>0</v>
      </c>
      <c r="C29" s="693"/>
      <c r="D29" s="694"/>
      <c r="E29" s="682" t="s">
        <v>446</v>
      </c>
    </row>
    <row r="30" spans="1:5" ht="15.75" customHeight="1" thickBot="1">
      <c r="A30" s="695" t="s">
        <v>447</v>
      </c>
      <c r="B30" s="696">
        <f>B27-B29</f>
        <v>0</v>
      </c>
      <c r="C30" s="696">
        <f>C27-C29</f>
        <v>0</v>
      </c>
      <c r="D30" s="702"/>
      <c r="E30" s="703"/>
    </row>
    <row r="31" ht="9.75">
      <c r="E31" s="350">
        <f>IF(AND(C27=0,C29=0,D4="",D7="",D8="",D9="",D10="",D11="",D12="",D13="",D14="",D15="",D16="",D17="",D18="",D19="",D20="",D21="",D23="",D24="",D25="",D26="",D29=""),0,1)</f>
        <v>0</v>
      </c>
    </row>
    <row r="32" ht="11.25" customHeight="1">
      <c r="A32" s="704" t="s">
        <v>161</v>
      </c>
    </row>
    <row r="43" ht="9.75">
      <c r="A43" s="705"/>
    </row>
  </sheetData>
  <sheetProtection password="EA98" sheet="1" formatColumns="0" selectLockedCells="1"/>
  <mergeCells count="4">
    <mergeCell ref="A1:D1"/>
    <mergeCell ref="A2:D2"/>
    <mergeCell ref="C4:C6"/>
    <mergeCell ref="D4:D6"/>
  </mergeCells>
  <dataValidations count="2">
    <dataValidation type="textLength" allowBlank="1" showInputMessage="1" showErrorMessage="1" errorTitle="ATTENZIONE ! ! !" error="E' stato superato il limite di 500 caratteri" sqref="D26">
      <formula1>0</formula1>
      <formula2>500</formula2>
    </dataValidation>
    <dataValidation type="textLength" allowBlank="1" showInputMessage="1" showErrorMessage="1" errorTitle="ATTENZIONE ! ! ! " error="E' stato superato il limite di 500 caratteri" sqref="D4:D6 D15:D16 D19 D22:D24">
      <formula1>0</formula1>
      <formula2>500</formula2>
    </dataValidation>
  </dataValidation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Foglio36">
    <tabColor rgb="FFCC0099"/>
  </sheetPr>
  <dimension ref="A1:X1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B4" sqref="B4"/>
    </sheetView>
  </sheetViews>
  <sheetFormatPr defaultColWidth="9.33203125" defaultRowHeight="10.5"/>
  <cols>
    <col min="1" max="1" width="52" style="5" customWidth="1"/>
    <col min="2" max="2" width="10" style="7" customWidth="1"/>
    <col min="3" max="5" width="10.83203125" style="7" customWidth="1"/>
    <col min="6" max="8" width="11.83203125" style="7" customWidth="1"/>
    <col min="9" max="12" width="13.83203125" style="7" customWidth="1"/>
    <col min="13" max="20" width="16.5" style="7" customWidth="1"/>
    <col min="21" max="21" width="9.33203125" style="100" customWidth="1"/>
  </cols>
  <sheetData>
    <row r="1" spans="1:24" s="5" customFormat="1" ht="43.5" customHeight="1">
      <c r="A1" s="882" t="str">
        <f>'t1'!A1</f>
        <v>AVVOCATURA DI STATO - anno 2021</v>
      </c>
      <c r="B1" s="882"/>
      <c r="C1" s="882"/>
      <c r="D1" s="882"/>
      <c r="E1" s="882"/>
      <c r="F1" s="882"/>
      <c r="G1" s="882"/>
      <c r="H1" s="882"/>
      <c r="I1" s="882"/>
      <c r="J1" s="330"/>
      <c r="K1" s="330"/>
      <c r="L1" s="330"/>
      <c r="M1" s="330"/>
      <c r="N1" s="330"/>
      <c r="O1" s="330"/>
      <c r="P1" s="330"/>
      <c r="Q1" s="330"/>
      <c r="R1" s="330"/>
      <c r="S1" s="330"/>
      <c r="T1" s="330"/>
      <c r="V1" s="3"/>
      <c r="X1"/>
    </row>
    <row r="2" spans="9:24" s="5" customFormat="1" ht="12.75" customHeight="1">
      <c r="I2" s="536"/>
      <c r="J2" s="536"/>
      <c r="K2" s="536"/>
      <c r="L2" s="536"/>
      <c r="M2" s="536"/>
      <c r="N2" s="536"/>
      <c r="O2" s="536"/>
      <c r="P2" s="536"/>
      <c r="Q2" s="536"/>
      <c r="R2" s="536"/>
      <c r="S2" s="536"/>
      <c r="T2" s="536"/>
      <c r="U2" s="299"/>
      <c r="V2" s="3"/>
      <c r="X2"/>
    </row>
    <row r="3" spans="1:4" s="5" customFormat="1" ht="21" customHeight="1">
      <c r="A3" s="181" t="s">
        <v>291</v>
      </c>
      <c r="B3" s="7"/>
      <c r="C3" s="7"/>
      <c r="D3" s="7"/>
    </row>
    <row r="4" spans="1:20" s="5" customFormat="1" ht="21" customHeight="1">
      <c r="A4" s="181"/>
      <c r="B4" s="7"/>
      <c r="C4" s="7"/>
      <c r="D4" s="7"/>
      <c r="F4" s="962" t="s">
        <v>292</v>
      </c>
      <c r="G4" s="963"/>
      <c r="H4" s="964"/>
      <c r="I4" s="962" t="s">
        <v>381</v>
      </c>
      <c r="J4" s="963"/>
      <c r="K4" s="963"/>
      <c r="L4" s="963"/>
      <c r="M4" s="963"/>
      <c r="N4" s="963"/>
      <c r="O4" s="964"/>
      <c r="P4" s="962" t="s">
        <v>382</v>
      </c>
      <c r="Q4" s="963"/>
      <c r="R4" s="963"/>
      <c r="S4" s="963"/>
      <c r="T4" s="964"/>
    </row>
    <row r="5" spans="1:20" ht="54.75">
      <c r="A5" s="537" t="s">
        <v>209</v>
      </c>
      <c r="B5" s="538" t="s">
        <v>171</v>
      </c>
      <c r="C5" s="539" t="str">
        <f>"presenti al 31/12/"&amp;'t1'!L1&amp;" (tab.1)"</f>
        <v>presenti al 31/12/2021 (tab.1)</v>
      </c>
      <c r="D5" s="539" t="s">
        <v>8</v>
      </c>
      <c r="E5" s="540" t="s">
        <v>293</v>
      </c>
      <c r="F5" s="541" t="str">
        <f>'t11'!C4</f>
        <v>FERIE</v>
      </c>
      <c r="G5" s="541" t="s">
        <v>294</v>
      </c>
      <c r="H5" s="541" t="s">
        <v>295</v>
      </c>
      <c r="I5" s="541" t="s">
        <v>511</v>
      </c>
      <c r="J5" s="541" t="str">
        <f>'t12'!F4</f>
        <v>R.I.A.</v>
      </c>
      <c r="K5" s="541" t="s">
        <v>508</v>
      </c>
      <c r="L5" s="541" t="str">
        <f>'t12'!H4</f>
        <v>TREDICESIMA MENSILTA'</v>
      </c>
      <c r="M5" s="542" t="s">
        <v>296</v>
      </c>
      <c r="N5" s="543" t="str">
        <f>'t12'!I4</f>
        <v>ARRETRATI  ANNI PRECEDENTI</v>
      </c>
      <c r="O5" s="543" t="str">
        <f>'t12'!J4</f>
        <v>RECUPERI DERIVANTI DA ASSENZE, RITARDI, ECC.</v>
      </c>
      <c r="P5" s="541" t="s">
        <v>273</v>
      </c>
      <c r="Q5" s="541" t="s">
        <v>297</v>
      </c>
      <c r="R5" s="541" t="s">
        <v>298</v>
      </c>
      <c r="S5" s="542" t="s">
        <v>299</v>
      </c>
      <c r="T5" s="543" t="str">
        <f>'t13'!I4</f>
        <v>ARRETRATI ANNI PRECEDENTI</v>
      </c>
    </row>
    <row r="6" spans="1:20" ht="9.75">
      <c r="A6" s="124" t="str">
        <f>'t1'!A6</f>
        <v>AVVOCATO GENERALE</v>
      </c>
      <c r="B6" s="301" t="str">
        <f>'t1'!B6</f>
        <v>0D0381</v>
      </c>
      <c r="C6" s="544">
        <f>'t1'!K6+'t1'!L6</f>
        <v>0</v>
      </c>
      <c r="D6" s="544">
        <f>('t1'!K6+'t1'!L6)-SUM('t3'!C6:F6,'t3'!I6:J6)+SUM('t3'!K6:N6)</f>
        <v>0</v>
      </c>
      <c r="E6" s="545">
        <f>'t12'!C6/12</f>
        <v>0</v>
      </c>
      <c r="F6" s="545" t="str">
        <f>IF($D6&gt;0,(('t11'!C8+'t11'!D8)/$D6)," ")</f>
        <v> </v>
      </c>
      <c r="G6" s="545" t="str">
        <f>IF($D6&gt;0,(SUM('t11'!E8:P8)/$D6)," ")</f>
        <v> </v>
      </c>
      <c r="H6" s="545" t="str">
        <f>IF($D6&gt;0,(SUM('t11'!Q8:T8)/$D6)," ")</f>
        <v> </v>
      </c>
      <c r="I6" s="546" t="str">
        <f>IF($E6=0," ",('t12'!D6+'t12'!E6)/$E6)</f>
        <v> </v>
      </c>
      <c r="J6" s="546" t="str">
        <f>IF($E6=0," ",'t12'!F6/$E6)</f>
        <v> </v>
      </c>
      <c r="K6" s="546" t="str">
        <f>IF($E6=0," ",'t12'!G6/$E6)</f>
        <v> </v>
      </c>
      <c r="L6" s="546" t="str">
        <f>IF($E6=0," ",'t12'!H6/$E6)</f>
        <v> </v>
      </c>
      <c r="M6" s="547">
        <f>SUM(I6:L6)</f>
        <v>0</v>
      </c>
      <c r="N6" s="548" t="str">
        <f>IF($E6=0," ",'t12'!I6/$E6)</f>
        <v> </v>
      </c>
      <c r="O6" s="548" t="str">
        <f>IF($E6=0," ",'t12'!J6/$E6)</f>
        <v> </v>
      </c>
      <c r="P6" s="546" t="str">
        <f>IF($E6=0," ",'t13'!K6/$E6)</f>
        <v> </v>
      </c>
      <c r="Q6" s="546" t="str">
        <f>IF($E6=0," ",SUM('t13'!C6:G6)/$E6)</f>
        <v> </v>
      </c>
      <c r="R6" s="546" t="str">
        <f>IF($E6=0," ",(SUM('t13'!H6:H6)+'t13'!J6)/$E6)</f>
        <v> </v>
      </c>
      <c r="S6" s="547">
        <f>SUM(P6:R6)</f>
        <v>0</v>
      </c>
      <c r="T6" s="548" t="str">
        <f>IF($E6=0," ",'t13'!I6/$E6)</f>
        <v> </v>
      </c>
    </row>
    <row r="7" spans="1:20" ht="9.75">
      <c r="A7" s="124" t="str">
        <f>'t1'!A7</f>
        <v>AVVOCATO GENERALE AGGIUNTO</v>
      </c>
      <c r="B7" s="301" t="str">
        <f>'t1'!B7</f>
        <v>0D0845</v>
      </c>
      <c r="C7" s="544">
        <f>'t1'!K7+'t1'!L7</f>
        <v>0</v>
      </c>
      <c r="D7" s="544">
        <f>('t1'!K7+'t1'!L7)-SUM('t3'!C7:F7,'t3'!I7:J7)+SUM('t3'!K7:N7)</f>
        <v>0</v>
      </c>
      <c r="E7" s="545">
        <f>'t12'!C7/12</f>
        <v>0</v>
      </c>
      <c r="F7" s="545" t="str">
        <f>IF($D7&gt;0,(('t11'!C9+'t11'!D9)/$D7)," ")</f>
        <v> </v>
      </c>
      <c r="G7" s="545" t="str">
        <f>IF($D7&gt;0,(SUM('t11'!E9:P9)/$D7)," ")</f>
        <v> </v>
      </c>
      <c r="H7" s="545" t="str">
        <f>IF($D7&gt;0,(SUM('t11'!Q9:T9)/$D7)," ")</f>
        <v> </v>
      </c>
      <c r="I7" s="546" t="str">
        <f>IF($E7=0," ",('t12'!D7+'t12'!E7)/$E7)</f>
        <v> </v>
      </c>
      <c r="J7" s="546" t="str">
        <f>IF($E7=0," ",'t12'!F7/$E7)</f>
        <v> </v>
      </c>
      <c r="K7" s="546" t="str">
        <f>IF($E7=0," ",'t12'!G7/$E7)</f>
        <v> </v>
      </c>
      <c r="L7" s="546" t="str">
        <f>IF($E7=0," ",'t12'!H7/$E7)</f>
        <v> </v>
      </c>
      <c r="M7" s="547">
        <f aca="true" t="shared" si="0" ref="M7:M13">SUM(I7:L7)</f>
        <v>0</v>
      </c>
      <c r="N7" s="548" t="str">
        <f>IF($E7=0," ",'t12'!I7/$E7)</f>
        <v> </v>
      </c>
      <c r="O7" s="548" t="str">
        <f>IF($E7=0," ",'t12'!J7/$E7)</f>
        <v> </v>
      </c>
      <c r="P7" s="546" t="str">
        <f>IF($E7=0," ",'t13'!K7/$E7)</f>
        <v> </v>
      </c>
      <c r="Q7" s="546" t="str">
        <f>IF($E7=0," ",SUM('t13'!C7:G7)/$E7)</f>
        <v> </v>
      </c>
      <c r="R7" s="546" t="str">
        <f>IF($E7=0," ",(SUM('t13'!H7:H7)+'t13'!J7)/$E7)</f>
        <v> </v>
      </c>
      <c r="S7" s="547">
        <f aca="true" t="shared" si="1" ref="S7:S13">SUM(P7:R7)</f>
        <v>0</v>
      </c>
      <c r="T7" s="548" t="str">
        <f>IF($E7=0," ",'t13'!I7/$E7)</f>
        <v> </v>
      </c>
    </row>
    <row r="8" spans="1:20" ht="9.75">
      <c r="A8" s="124" t="str">
        <f>'t1'!A8</f>
        <v>AVVOCATO IV CLASSE</v>
      </c>
      <c r="B8" s="301" t="str">
        <f>'t1'!B8</f>
        <v>0D0380</v>
      </c>
      <c r="C8" s="544">
        <f>'t1'!K8+'t1'!L8</f>
        <v>0</v>
      </c>
      <c r="D8" s="544">
        <f>('t1'!K8+'t1'!L8)-SUM('t3'!C8:F8,'t3'!I8:J8)+SUM('t3'!K8:N8)</f>
        <v>0</v>
      </c>
      <c r="E8" s="545">
        <f>'t12'!C8/12</f>
        <v>0</v>
      </c>
      <c r="F8" s="545" t="str">
        <f>IF($D8&gt;0,(('t11'!C10+'t11'!D10)/$D8)," ")</f>
        <v> </v>
      </c>
      <c r="G8" s="545" t="str">
        <f>IF($D8&gt;0,(SUM('t11'!E10:P10)/$D8)," ")</f>
        <v> </v>
      </c>
      <c r="H8" s="545" t="str">
        <f>IF($D8&gt;0,(SUM('t11'!Q10:T10)/$D8)," ")</f>
        <v> </v>
      </c>
      <c r="I8" s="546" t="str">
        <f>IF($E8=0," ",('t12'!D8+'t12'!E8)/$E8)</f>
        <v> </v>
      </c>
      <c r="J8" s="546" t="str">
        <f>IF($E8=0," ",'t12'!F8/$E8)</f>
        <v> </v>
      </c>
      <c r="K8" s="546" t="str">
        <f>IF($E8=0," ",'t12'!G8/$E8)</f>
        <v> </v>
      </c>
      <c r="L8" s="546" t="str">
        <f>IF($E8=0," ",'t12'!H8/$E8)</f>
        <v> </v>
      </c>
      <c r="M8" s="547">
        <f t="shared" si="0"/>
        <v>0</v>
      </c>
      <c r="N8" s="548" t="str">
        <f>IF($E8=0," ",'t12'!I8/$E8)</f>
        <v> </v>
      </c>
      <c r="O8" s="548" t="str">
        <f>IF($E8=0," ",'t12'!J8/$E8)</f>
        <v> </v>
      </c>
      <c r="P8" s="546" t="str">
        <f>IF($E8=0," ",'t13'!K8/$E8)</f>
        <v> </v>
      </c>
      <c r="Q8" s="546" t="str">
        <f>IF($E8=0," ",SUM('t13'!C8:G8)/$E8)</f>
        <v> </v>
      </c>
      <c r="R8" s="546" t="str">
        <f>IF($E8=0," ",(SUM('t13'!H8:H8)+'t13'!J8)/$E8)</f>
        <v> </v>
      </c>
      <c r="S8" s="547">
        <f t="shared" si="1"/>
        <v>0</v>
      </c>
      <c r="T8" s="548" t="str">
        <f>IF($E8=0," ",'t13'!I8/$E8)</f>
        <v> </v>
      </c>
    </row>
    <row r="9" spans="1:20" ht="9.75">
      <c r="A9" s="124" t="str">
        <f>'t1'!A9</f>
        <v>AVVOCATO III CLASSE</v>
      </c>
      <c r="B9" s="301" t="str">
        <f>'t1'!B9</f>
        <v>0D0379</v>
      </c>
      <c r="C9" s="544">
        <f>'t1'!K9+'t1'!L9</f>
        <v>0</v>
      </c>
      <c r="D9" s="544">
        <f>('t1'!K9+'t1'!L9)-SUM('t3'!C9:F9,'t3'!I9:J9)+SUM('t3'!K9:N9)</f>
        <v>0</v>
      </c>
      <c r="E9" s="545">
        <f>'t12'!C9/12</f>
        <v>0</v>
      </c>
      <c r="F9" s="545" t="str">
        <f>IF($D9&gt;0,(('t11'!C11+'t11'!D11)/$D9)," ")</f>
        <v> </v>
      </c>
      <c r="G9" s="545" t="str">
        <f>IF($D9&gt;0,(SUM('t11'!E11:P11)/$D9)," ")</f>
        <v> </v>
      </c>
      <c r="H9" s="545" t="str">
        <f>IF($D9&gt;0,(SUM('t11'!Q11:T11)/$D9)," ")</f>
        <v> </v>
      </c>
      <c r="I9" s="546" t="str">
        <f>IF($E9=0," ",('t12'!D9+'t12'!E9)/$E9)</f>
        <v> </v>
      </c>
      <c r="J9" s="546" t="str">
        <f>IF($E9=0," ",'t12'!F9/$E9)</f>
        <v> </v>
      </c>
      <c r="K9" s="546" t="str">
        <f>IF($E9=0," ",'t12'!G9/$E9)</f>
        <v> </v>
      </c>
      <c r="L9" s="546" t="str">
        <f>IF($E9=0," ",'t12'!H9/$E9)</f>
        <v> </v>
      </c>
      <c r="M9" s="547">
        <f t="shared" si="0"/>
        <v>0</v>
      </c>
      <c r="N9" s="548" t="str">
        <f>IF($E9=0," ",'t12'!I9/$E9)</f>
        <v> </v>
      </c>
      <c r="O9" s="548" t="str">
        <f>IF($E9=0," ",'t12'!J9/$E9)</f>
        <v> </v>
      </c>
      <c r="P9" s="546" t="str">
        <f>IF($E9=0," ",'t13'!K9/$E9)</f>
        <v> </v>
      </c>
      <c r="Q9" s="546" t="str">
        <f>IF($E9=0," ",SUM('t13'!C9:G9)/$E9)</f>
        <v> </v>
      </c>
      <c r="R9" s="546" t="str">
        <f>IF($E9=0," ",(SUM('t13'!H9:H9)+'t13'!J9)/$E9)</f>
        <v> </v>
      </c>
      <c r="S9" s="547">
        <f t="shared" si="1"/>
        <v>0</v>
      </c>
      <c r="T9" s="548" t="str">
        <f>IF($E9=0," ",'t13'!I9/$E9)</f>
        <v> </v>
      </c>
    </row>
    <row r="10" spans="1:20" ht="9.75">
      <c r="A10" s="124" t="str">
        <f>'t1'!A10</f>
        <v>AVVOCATO II CLASSE ED EQUIP.</v>
      </c>
      <c r="B10" s="301" t="str">
        <f>'t1'!B10</f>
        <v>0D0A2E</v>
      </c>
      <c r="C10" s="544">
        <f>'t1'!K10+'t1'!L10</f>
        <v>0</v>
      </c>
      <c r="D10" s="544">
        <f>('t1'!K10+'t1'!L10)-SUM('t3'!C10:F10,'t3'!I10:J10)+SUM('t3'!K10:N10)</f>
        <v>0</v>
      </c>
      <c r="E10" s="545">
        <f>'t12'!C10/12</f>
        <v>0</v>
      </c>
      <c r="F10" s="545" t="str">
        <f>IF($D10&gt;0,(('t11'!C12+'t11'!D12)/$D10)," ")</f>
        <v> </v>
      </c>
      <c r="G10" s="545" t="str">
        <f>IF($D10&gt;0,(SUM('t11'!E12:P12)/$D10)," ")</f>
        <v> </v>
      </c>
      <c r="H10" s="545" t="str">
        <f>IF($D10&gt;0,(SUM('t11'!Q12:T12)/$D10)," ")</f>
        <v> </v>
      </c>
      <c r="I10" s="546" t="str">
        <f>IF($E10=0," ",('t12'!D10+'t12'!E10)/$E10)</f>
        <v> </v>
      </c>
      <c r="J10" s="546" t="str">
        <f>IF($E10=0," ",'t12'!F10/$E10)</f>
        <v> </v>
      </c>
      <c r="K10" s="546" t="str">
        <f>IF($E10=0," ",'t12'!G10/$E10)</f>
        <v> </v>
      </c>
      <c r="L10" s="546" t="str">
        <f>IF($E10=0," ",'t12'!H10/$E10)</f>
        <v> </v>
      </c>
      <c r="M10" s="547">
        <f t="shared" si="0"/>
        <v>0</v>
      </c>
      <c r="N10" s="548" t="str">
        <f>IF($E10=0," ",'t12'!I10/$E10)</f>
        <v> </v>
      </c>
      <c r="O10" s="548" t="str">
        <f>IF($E10=0," ",'t12'!J10/$E10)</f>
        <v> </v>
      </c>
      <c r="P10" s="546" t="str">
        <f>IF($E10=0," ",'t13'!K10/$E10)</f>
        <v> </v>
      </c>
      <c r="Q10" s="546" t="str">
        <f>IF($E10=0," ",SUM('t13'!C10:G10)/$E10)</f>
        <v> </v>
      </c>
      <c r="R10" s="546" t="str">
        <f>IF($E10=0," ",(SUM('t13'!H10:H10)+'t13'!J10)/$E10)</f>
        <v> </v>
      </c>
      <c r="S10" s="547">
        <f t="shared" si="1"/>
        <v>0</v>
      </c>
      <c r="T10" s="548" t="str">
        <f>IF($E10=0," ",'t13'!I10/$E10)</f>
        <v> </v>
      </c>
    </row>
    <row r="11" spans="1:20" ht="9.75">
      <c r="A11" s="124" t="str">
        <f>'t1'!A11</f>
        <v>AVVOCATO I CLASSE ED EQUIP.</v>
      </c>
      <c r="B11" s="301" t="str">
        <f>'t1'!B11</f>
        <v>0D0A1E</v>
      </c>
      <c r="C11" s="544">
        <f>'t1'!K11+'t1'!L11</f>
        <v>0</v>
      </c>
      <c r="D11" s="544">
        <f>('t1'!K11+'t1'!L11)-SUM('t3'!C11:F11,'t3'!I11:J11)+SUM('t3'!K11:N11)</f>
        <v>0</v>
      </c>
      <c r="E11" s="545">
        <f>'t12'!C11/12</f>
        <v>0</v>
      </c>
      <c r="F11" s="545" t="str">
        <f>IF($D11&gt;0,(('t11'!C13+'t11'!D13)/$D11)," ")</f>
        <v> </v>
      </c>
      <c r="G11" s="545" t="str">
        <f>IF($D11&gt;0,(SUM('t11'!E13:P13)/$D11)," ")</f>
        <v> </v>
      </c>
      <c r="H11" s="545" t="str">
        <f>IF($D11&gt;0,(SUM('t11'!Q13:T13)/$D11)," ")</f>
        <v> </v>
      </c>
      <c r="I11" s="546" t="str">
        <f>IF($E11=0," ",('t12'!D11+'t12'!E11)/$E11)</f>
        <v> </v>
      </c>
      <c r="J11" s="546" t="str">
        <f>IF($E11=0," ",'t12'!F11/$E11)</f>
        <v> </v>
      </c>
      <c r="K11" s="546" t="str">
        <f>IF($E11=0," ",'t12'!G11/$E11)</f>
        <v> </v>
      </c>
      <c r="L11" s="546" t="str">
        <f>IF($E11=0," ",'t12'!H11/$E11)</f>
        <v> </v>
      </c>
      <c r="M11" s="547">
        <f t="shared" si="0"/>
        <v>0</v>
      </c>
      <c r="N11" s="548" t="str">
        <f>IF($E11=0," ",'t12'!I11/$E11)</f>
        <v> </v>
      </c>
      <c r="O11" s="548" t="str">
        <f>IF($E11=0," ",'t12'!J11/$E11)</f>
        <v> </v>
      </c>
      <c r="P11" s="546" t="str">
        <f>IF($E11=0," ",'t13'!K11/$E11)</f>
        <v> </v>
      </c>
      <c r="Q11" s="546" t="str">
        <f>IF($E11=0," ",SUM('t13'!C11:G11)/$E11)</f>
        <v> </v>
      </c>
      <c r="R11" s="546" t="str">
        <f>IF($E11=0," ",(SUM('t13'!H11:H11)+'t13'!J11)/$E11)</f>
        <v> </v>
      </c>
      <c r="S11" s="547">
        <f t="shared" si="1"/>
        <v>0</v>
      </c>
      <c r="T11" s="548" t="str">
        <f>IF($E11=0," ",'t13'!I11/$E11)</f>
        <v> </v>
      </c>
    </row>
    <row r="12" spans="1:20" ht="9.75">
      <c r="A12" s="124" t="str">
        <f>'t1'!A12</f>
        <v>PROCURATORE II CLASSE</v>
      </c>
      <c r="B12" s="301" t="str">
        <f>'t1'!B12</f>
        <v>0D0383</v>
      </c>
      <c r="C12" s="544">
        <f>'t1'!K12+'t1'!L12</f>
        <v>0</v>
      </c>
      <c r="D12" s="544">
        <f>('t1'!K12+'t1'!L12)-SUM('t3'!C12:F12,'t3'!I12:J12)+SUM('t3'!K12:N12)</f>
        <v>0</v>
      </c>
      <c r="E12" s="545">
        <f>'t12'!C12/12</f>
        <v>0</v>
      </c>
      <c r="F12" s="545" t="str">
        <f>IF($D12&gt;0,(('t11'!C14+'t11'!D14)/$D12)," ")</f>
        <v> </v>
      </c>
      <c r="G12" s="545" t="str">
        <f>IF($D12&gt;0,(SUM('t11'!E14:P14)/$D12)," ")</f>
        <v> </v>
      </c>
      <c r="H12" s="545" t="str">
        <f>IF($D12&gt;0,(SUM('t11'!Q14:T14)/$D12)," ")</f>
        <v> </v>
      </c>
      <c r="I12" s="546" t="str">
        <f>IF($E12=0," ",('t12'!D12+'t12'!E12)/$E12)</f>
        <v> </v>
      </c>
      <c r="J12" s="546" t="str">
        <f>IF($E12=0," ",'t12'!F12/$E12)</f>
        <v> </v>
      </c>
      <c r="K12" s="546" t="str">
        <f>IF($E12=0," ",'t12'!G12/$E12)</f>
        <v> </v>
      </c>
      <c r="L12" s="546" t="str">
        <f>IF($E12=0," ",'t12'!H12/$E12)</f>
        <v> </v>
      </c>
      <c r="M12" s="547">
        <f t="shared" si="0"/>
        <v>0</v>
      </c>
      <c r="N12" s="548" t="str">
        <f>IF($E12=0," ",'t12'!I12/$E12)</f>
        <v> </v>
      </c>
      <c r="O12" s="548" t="str">
        <f>IF($E12=0," ",'t12'!J12/$E12)</f>
        <v> </v>
      </c>
      <c r="P12" s="546" t="str">
        <f>IF($E12=0," ",'t13'!K12/$E12)</f>
        <v> </v>
      </c>
      <c r="Q12" s="546" t="str">
        <f>IF($E12=0," ",SUM('t13'!C12:G12)/$E12)</f>
        <v> </v>
      </c>
      <c r="R12" s="546" t="str">
        <f>IF($E12=0," ",(SUM('t13'!H12:H12)+'t13'!J12)/$E12)</f>
        <v> </v>
      </c>
      <c r="S12" s="547">
        <f t="shared" si="1"/>
        <v>0</v>
      </c>
      <c r="T12" s="548" t="str">
        <f>IF($E12=0," ",'t13'!I12/$E12)</f>
        <v> </v>
      </c>
    </row>
    <row r="13" spans="1:20" ht="9.75">
      <c r="A13" s="124" t="str">
        <f>'t1'!A13</f>
        <v>PROCURATORE I CLASSE</v>
      </c>
      <c r="B13" s="301" t="str">
        <f>'t1'!B13</f>
        <v>0D0382</v>
      </c>
      <c r="C13" s="544">
        <f>'t1'!K13+'t1'!L13</f>
        <v>0</v>
      </c>
      <c r="D13" s="544">
        <f>('t1'!K13+'t1'!L13)-SUM('t3'!C13:F13,'t3'!I13:J13)+SUM('t3'!K13:N13)</f>
        <v>0</v>
      </c>
      <c r="E13" s="545">
        <f>'t12'!C13/12</f>
        <v>0</v>
      </c>
      <c r="F13" s="545" t="str">
        <f>IF($D13&gt;0,(('t11'!C15+'t11'!D15)/$D13)," ")</f>
        <v> </v>
      </c>
      <c r="G13" s="545" t="str">
        <f>IF($D13&gt;0,(SUM('t11'!E15:P15)/$D13)," ")</f>
        <v> </v>
      </c>
      <c r="H13" s="545" t="str">
        <f>IF($D13&gt;0,(SUM('t11'!Q15:T15)/$D13)," ")</f>
        <v> </v>
      </c>
      <c r="I13" s="546" t="str">
        <f>IF($E13=0," ",('t12'!D13+'t12'!E13)/$E13)</f>
        <v> </v>
      </c>
      <c r="J13" s="546" t="str">
        <f>IF($E13=0," ",'t12'!F13/$E13)</f>
        <v> </v>
      </c>
      <c r="K13" s="546" t="str">
        <f>IF($E13=0," ",'t12'!G13/$E13)</f>
        <v> </v>
      </c>
      <c r="L13" s="546" t="str">
        <f>IF($E13=0," ",'t12'!H13/$E13)</f>
        <v> </v>
      </c>
      <c r="M13" s="547">
        <f t="shared" si="0"/>
        <v>0</v>
      </c>
      <c r="N13" s="548" t="str">
        <f>IF($E13=0," ",'t12'!I13/$E13)</f>
        <v> </v>
      </c>
      <c r="O13" s="548" t="str">
        <f>IF($E13=0," ",'t12'!J13/$E13)</f>
        <v> </v>
      </c>
      <c r="P13" s="546" t="str">
        <f>IF($E13=0," ",'t13'!K13/$E13)</f>
        <v> </v>
      </c>
      <c r="Q13" s="546" t="str">
        <f>IF($E13=0," ",SUM('t13'!C13:G13)/$E13)</f>
        <v> </v>
      </c>
      <c r="R13" s="546" t="str">
        <f>IF($E13=0," ",(SUM('t13'!H13:H13)+'t13'!J13)/$E13)</f>
        <v> </v>
      </c>
      <c r="S13" s="547">
        <f t="shared" si="1"/>
        <v>0</v>
      </c>
      <c r="T13" s="548" t="str">
        <f>IF($E13=0," ",'t13'!I13/$E13)</f>
        <v> </v>
      </c>
    </row>
    <row r="15" ht="9.75">
      <c r="A15" s="5" t="str">
        <f>"(*)  Personale presente al 31/12/"&amp;'t1'!L1&amp;" di T1 - personale dell'amministrazione comandato/distaccato, fuori ruolo e in esonero di T3 + personale esterno comandato/distaccato e fuori ruolo di T3"</f>
        <v>(*)  Personale presente al 31/12/2021 di T1 - personale dell'amministrazione comandato/distaccato, fuori ruolo e in esonero di T3 + personale esterno comandato/distaccato e fuori ruolo di T3</v>
      </c>
    </row>
    <row r="16" ht="9.75">
      <c r="A16" s="5" t="s">
        <v>383</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7.xml><?xml version="1.0" encoding="utf-8"?>
<worksheet xmlns="http://schemas.openxmlformats.org/spreadsheetml/2006/main" xmlns:r="http://schemas.openxmlformats.org/officeDocument/2006/relationships">
  <sheetPr codeName="Foglio22"/>
  <dimension ref="A1:T37"/>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60.660156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882" t="str">
        <f>'t1'!A1</f>
        <v>AVVOCATURA DI STATO - anno 2021</v>
      </c>
      <c r="B1" s="882"/>
      <c r="C1" s="882"/>
      <c r="D1" s="882"/>
      <c r="E1" s="882"/>
      <c r="F1" s="882"/>
      <c r="G1" s="882"/>
      <c r="H1" s="882"/>
      <c r="I1" s="298"/>
      <c r="J1" s="295"/>
      <c r="K1" s="3"/>
      <c r="M1"/>
    </row>
    <row r="2" spans="2:13" ht="12.75" customHeight="1">
      <c r="B2" s="5"/>
      <c r="C2" s="5"/>
      <c r="D2" s="965"/>
      <c r="E2" s="965"/>
      <c r="F2" s="965"/>
      <c r="G2" s="965"/>
      <c r="H2" s="965"/>
      <c r="I2" s="965"/>
      <c r="J2" s="965"/>
      <c r="K2" s="3"/>
      <c r="M2"/>
    </row>
    <row r="3" spans="1:2" s="181" customFormat="1" ht="21" customHeight="1">
      <c r="A3" s="181" t="str">
        <f>"Tavola di coerenza tra presenti al 31.12."&amp;'t1'!L1&amp;" e presenti al 31.12."&amp;'t1'!L1-1&amp;" (Squadratura 1)"</f>
        <v>Tavola di coerenza tra presenti al 31.12.2021 e presenti al 31.12.2020 (Squadratura 1)</v>
      </c>
      <c r="B3" s="297"/>
    </row>
    <row r="4" spans="1:10" ht="36.75" customHeight="1">
      <c r="A4" s="163" t="s">
        <v>172</v>
      </c>
      <c r="B4" s="164" t="s">
        <v>171</v>
      </c>
      <c r="C4" s="164" t="str">
        <f>"Presenti 31.12."&amp;'t1'!L1-1&amp;" (Tab 1)"</f>
        <v>Presenti 31.12.2020 (Tab 1)</v>
      </c>
      <c r="D4" s="164" t="s">
        <v>167</v>
      </c>
      <c r="E4" s="164" t="s">
        <v>219</v>
      </c>
      <c r="F4" s="164" t="s">
        <v>169</v>
      </c>
      <c r="G4" s="164" t="s">
        <v>168</v>
      </c>
      <c r="H4" s="164" t="str">
        <f>"Presenti 31.12."&amp;'t1'!L1&amp;" (Calcolati)"</f>
        <v>Presenti 31.12.2021 (Calcolati)</v>
      </c>
      <c r="I4" s="164" t="str">
        <f>"Presenti 31.12."&amp;'t1'!L1&amp;" (Tab 1)"</f>
        <v>Presenti 31.12.2021 (Tab 1)</v>
      </c>
      <c r="J4" s="164" t="s">
        <v>181</v>
      </c>
    </row>
    <row r="5" spans="1:10" ht="9.75">
      <c r="A5" s="634"/>
      <c r="B5" s="164"/>
      <c r="C5" s="170" t="s">
        <v>173</v>
      </c>
      <c r="D5" s="170" t="s">
        <v>174</v>
      </c>
      <c r="E5" s="170" t="s">
        <v>175</v>
      </c>
      <c r="F5" s="170" t="s">
        <v>176</v>
      </c>
      <c r="G5" s="170" t="s">
        <v>177</v>
      </c>
      <c r="H5" s="170" t="s">
        <v>178</v>
      </c>
      <c r="I5" s="170" t="s">
        <v>179</v>
      </c>
      <c r="J5" s="170" t="s">
        <v>180</v>
      </c>
    </row>
    <row r="6" spans="1:10" ht="12.75" customHeight="1">
      <c r="A6" s="635" t="str">
        <f>'t1'!A6</f>
        <v>AVVOCATO GENERALE</v>
      </c>
      <c r="B6" s="171" t="str">
        <f>'t1'!B6</f>
        <v>0D0381</v>
      </c>
      <c r="C6" s="322">
        <f>'t1'!C6+'t1'!D6</f>
        <v>0</v>
      </c>
      <c r="D6" s="322">
        <f>'t5'!U7+'t5'!V7</f>
        <v>0</v>
      </c>
      <c r="E6" s="323">
        <f>'t6'!U7+'t6'!V7</f>
        <v>0</v>
      </c>
      <c r="F6" s="323">
        <f>'t4'!K6</f>
        <v>0</v>
      </c>
      <c r="G6" s="323">
        <f>'t4'!C14</f>
        <v>0</v>
      </c>
      <c r="H6" s="323">
        <f>C6-D6+E6-F6+G6</f>
        <v>0</v>
      </c>
      <c r="I6" s="323">
        <f>'t1'!K6+'t1'!L6</f>
        <v>0</v>
      </c>
      <c r="J6" s="97" t="str">
        <f aca="true" t="shared" si="0" ref="J6:J13">IF(H6=I6,"OK","ERRORE")</f>
        <v>OK</v>
      </c>
    </row>
    <row r="7" spans="1:10" ht="12.75" customHeight="1">
      <c r="A7" s="635" t="str">
        <f>'t1'!A7</f>
        <v>AVVOCATO GENERALE AGGIUNTO</v>
      </c>
      <c r="B7" s="171" t="str">
        <f>'t1'!B7</f>
        <v>0D0845</v>
      </c>
      <c r="C7" s="322">
        <f>'t1'!C7+'t1'!D7</f>
        <v>0</v>
      </c>
      <c r="D7" s="322">
        <f>'t5'!U8+'t5'!V8</f>
        <v>0</v>
      </c>
      <c r="E7" s="323">
        <f>'t6'!U8+'t6'!V8</f>
        <v>0</v>
      </c>
      <c r="F7" s="323">
        <f>'t4'!K7</f>
        <v>0</v>
      </c>
      <c r="G7" s="323">
        <f>'t4'!D14</f>
        <v>0</v>
      </c>
      <c r="H7" s="323">
        <f aca="true" t="shared" si="1" ref="H7:H13">C7-D7+E7-F7+G7</f>
        <v>0</v>
      </c>
      <c r="I7" s="323">
        <f>'t1'!K7+'t1'!L7</f>
        <v>0</v>
      </c>
      <c r="J7" s="97" t="str">
        <f t="shared" si="0"/>
        <v>OK</v>
      </c>
    </row>
    <row r="8" spans="1:10" ht="12.75" customHeight="1">
      <c r="A8" s="635" t="str">
        <f>'t1'!A8</f>
        <v>AVVOCATO IV CLASSE</v>
      </c>
      <c r="B8" s="171" t="str">
        <f>'t1'!B8</f>
        <v>0D0380</v>
      </c>
      <c r="C8" s="322">
        <f>'t1'!C8+'t1'!D8</f>
        <v>0</v>
      </c>
      <c r="D8" s="322">
        <f>'t5'!U9+'t5'!V9</f>
        <v>0</v>
      </c>
      <c r="E8" s="323">
        <f>'t6'!U9+'t6'!V9</f>
        <v>0</v>
      </c>
      <c r="F8" s="323">
        <f>'t4'!K8</f>
        <v>0</v>
      </c>
      <c r="G8" s="323">
        <f>'t4'!E14</f>
        <v>0</v>
      </c>
      <c r="H8" s="323">
        <f t="shared" si="1"/>
        <v>0</v>
      </c>
      <c r="I8" s="323">
        <f>'t1'!K8+'t1'!L8</f>
        <v>0</v>
      </c>
      <c r="J8" s="97" t="str">
        <f t="shared" si="0"/>
        <v>OK</v>
      </c>
    </row>
    <row r="9" spans="1:10" ht="12.75" customHeight="1">
      <c r="A9" s="635" t="str">
        <f>'t1'!A9</f>
        <v>AVVOCATO III CLASSE</v>
      </c>
      <c r="B9" s="171" t="str">
        <f>'t1'!B9</f>
        <v>0D0379</v>
      </c>
      <c r="C9" s="322">
        <f>'t1'!C9+'t1'!D9</f>
        <v>0</v>
      </c>
      <c r="D9" s="322">
        <f>'t5'!U10+'t5'!V10</f>
        <v>0</v>
      </c>
      <c r="E9" s="323">
        <f>'t6'!U10+'t6'!V10</f>
        <v>0</v>
      </c>
      <c r="F9" s="323">
        <f>'t4'!K9</f>
        <v>0</v>
      </c>
      <c r="G9" s="323">
        <f>'t4'!F14</f>
        <v>0</v>
      </c>
      <c r="H9" s="323">
        <f t="shared" si="1"/>
        <v>0</v>
      </c>
      <c r="I9" s="323">
        <f>'t1'!K9+'t1'!L9</f>
        <v>0</v>
      </c>
      <c r="J9" s="97" t="str">
        <f t="shared" si="0"/>
        <v>OK</v>
      </c>
    </row>
    <row r="10" spans="1:10" ht="12.75" customHeight="1">
      <c r="A10" s="635" t="str">
        <f>'t1'!A10</f>
        <v>AVVOCATO II CLASSE ED EQUIP.</v>
      </c>
      <c r="B10" s="171" t="str">
        <f>'t1'!B10</f>
        <v>0D0A2E</v>
      </c>
      <c r="C10" s="322">
        <f>'t1'!C10+'t1'!D10</f>
        <v>0</v>
      </c>
      <c r="D10" s="322">
        <f>'t5'!U11+'t5'!V11</f>
        <v>0</v>
      </c>
      <c r="E10" s="323">
        <f>'t6'!U11+'t6'!V11</f>
        <v>0</v>
      </c>
      <c r="F10" s="323">
        <f>'t4'!K10</f>
        <v>0</v>
      </c>
      <c r="G10" s="323">
        <f>'t4'!G14</f>
        <v>0</v>
      </c>
      <c r="H10" s="323">
        <f t="shared" si="1"/>
        <v>0</v>
      </c>
      <c r="I10" s="323">
        <f>'t1'!K10+'t1'!L10</f>
        <v>0</v>
      </c>
      <c r="J10" s="97" t="str">
        <f t="shared" si="0"/>
        <v>OK</v>
      </c>
    </row>
    <row r="11" spans="1:10" ht="12.75" customHeight="1">
      <c r="A11" s="635" t="str">
        <f>'t1'!A11</f>
        <v>AVVOCATO I CLASSE ED EQUIP.</v>
      </c>
      <c r="B11" s="171" t="str">
        <f>'t1'!B11</f>
        <v>0D0A1E</v>
      </c>
      <c r="C11" s="322">
        <f>'t1'!C11+'t1'!D11</f>
        <v>0</v>
      </c>
      <c r="D11" s="322">
        <f>'t5'!U12+'t5'!V12</f>
        <v>0</v>
      </c>
      <c r="E11" s="323">
        <f>'t6'!U12+'t6'!V12</f>
        <v>0</v>
      </c>
      <c r="F11" s="323">
        <f>'t4'!K11</f>
        <v>0</v>
      </c>
      <c r="G11" s="323">
        <f>'t4'!H14</f>
        <v>0</v>
      </c>
      <c r="H11" s="323">
        <f t="shared" si="1"/>
        <v>0</v>
      </c>
      <c r="I11" s="323">
        <f>'t1'!K11+'t1'!L11</f>
        <v>0</v>
      </c>
      <c r="J11" s="97" t="str">
        <f t="shared" si="0"/>
        <v>OK</v>
      </c>
    </row>
    <row r="12" spans="1:10" ht="12.75" customHeight="1">
      <c r="A12" s="635" t="str">
        <f>'t1'!A12</f>
        <v>PROCURATORE II CLASSE</v>
      </c>
      <c r="B12" s="171" t="str">
        <f>'t1'!B12</f>
        <v>0D0383</v>
      </c>
      <c r="C12" s="322">
        <f>'t1'!C12+'t1'!D12</f>
        <v>0</v>
      </c>
      <c r="D12" s="322">
        <f>'t5'!U13+'t5'!V13</f>
        <v>0</v>
      </c>
      <c r="E12" s="323">
        <f>'t6'!U13+'t6'!V13</f>
        <v>0</v>
      </c>
      <c r="F12" s="323">
        <f>'t4'!K12</f>
        <v>0</v>
      </c>
      <c r="G12" s="323">
        <f>'t4'!I14</f>
        <v>0</v>
      </c>
      <c r="H12" s="323">
        <f t="shared" si="1"/>
        <v>0</v>
      </c>
      <c r="I12" s="323">
        <f>'t1'!K12+'t1'!L12</f>
        <v>0</v>
      </c>
      <c r="J12" s="97" t="str">
        <f t="shared" si="0"/>
        <v>OK</v>
      </c>
    </row>
    <row r="13" spans="1:10" ht="12.75" customHeight="1">
      <c r="A13" s="635" t="str">
        <f>'t1'!A13</f>
        <v>PROCURATORE I CLASSE</v>
      </c>
      <c r="B13" s="171" t="str">
        <f>'t1'!B13</f>
        <v>0D0382</v>
      </c>
      <c r="C13" s="322">
        <f>'t1'!C13+'t1'!D13</f>
        <v>0</v>
      </c>
      <c r="D13" s="322">
        <f>'t5'!U14+'t5'!V14</f>
        <v>0</v>
      </c>
      <c r="E13" s="323">
        <f>'t6'!U14+'t6'!V14</f>
        <v>0</v>
      </c>
      <c r="F13" s="323">
        <f>'t4'!K13</f>
        <v>0</v>
      </c>
      <c r="G13" s="323">
        <f>'t4'!J14</f>
        <v>0</v>
      </c>
      <c r="H13" s="323">
        <f t="shared" si="1"/>
        <v>0</v>
      </c>
      <c r="I13" s="323">
        <f>'t1'!K13+'t1'!L13</f>
        <v>0</v>
      </c>
      <c r="J13" s="97" t="str">
        <f t="shared" si="0"/>
        <v>OK</v>
      </c>
    </row>
    <row r="14" spans="1:10" s="329" customFormat="1" ht="15.75" customHeight="1">
      <c r="A14" s="636" t="str">
        <f>'t1'!A14</f>
        <v>TOTALE</v>
      </c>
      <c r="B14" s="191"/>
      <c r="C14" s="346">
        <f aca="true" t="shared" si="2" ref="C14:I14">SUM(C6:C13)</f>
        <v>0</v>
      </c>
      <c r="D14" s="346">
        <f t="shared" si="2"/>
        <v>0</v>
      </c>
      <c r="E14" s="346">
        <f t="shared" si="2"/>
        <v>0</v>
      </c>
      <c r="F14" s="346">
        <f t="shared" si="2"/>
        <v>0</v>
      </c>
      <c r="G14" s="346">
        <f t="shared" si="2"/>
        <v>0</v>
      </c>
      <c r="H14" s="346">
        <f t="shared" si="2"/>
        <v>0</v>
      </c>
      <c r="I14" s="346">
        <f t="shared" si="2"/>
        <v>0</v>
      </c>
      <c r="J14" s="347" t="str">
        <f>IF(H14=I14,"OK","ERRORE")</f>
        <v>OK</v>
      </c>
    </row>
    <row r="19" spans="6:20" ht="9.75">
      <c r="F19" s="343"/>
      <c r="G19" s="343"/>
      <c r="H19" s="343"/>
      <c r="I19" s="343"/>
      <c r="J19" s="343"/>
      <c r="K19" s="344"/>
      <c r="L19" s="344"/>
      <c r="M19" s="344"/>
      <c r="N19" s="344"/>
      <c r="O19" s="344"/>
      <c r="P19" s="344"/>
      <c r="Q19" s="344"/>
      <c r="R19" s="344"/>
      <c r="S19" s="344"/>
      <c r="T19" s="344"/>
    </row>
    <row r="23" ht="9.75">
      <c r="G23" s="343"/>
    </row>
    <row r="24" ht="9.75">
      <c r="G24" s="343"/>
    </row>
    <row r="25" ht="9.75">
      <c r="G25" s="343"/>
    </row>
    <row r="26" ht="9.75">
      <c r="G26" s="343"/>
    </row>
    <row r="27" ht="9.75">
      <c r="G27" s="343"/>
    </row>
    <row r="28" ht="9.75">
      <c r="G28" s="344"/>
    </row>
    <row r="29" ht="9.75">
      <c r="G29" s="344"/>
    </row>
    <row r="30" ht="9.75">
      <c r="G30" s="344"/>
    </row>
    <row r="31" ht="9.75">
      <c r="G31" s="344"/>
    </row>
    <row r="32" ht="9.75">
      <c r="G32" s="344"/>
    </row>
    <row r="33" ht="9.75">
      <c r="G33" s="344"/>
    </row>
    <row r="34" ht="9.75">
      <c r="G34" s="344"/>
    </row>
    <row r="35" ht="9.75">
      <c r="G35" s="344"/>
    </row>
    <row r="36" ht="9.75">
      <c r="G36" s="344"/>
    </row>
    <row r="37" ht="9.75">
      <c r="G37" s="344"/>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8.xml><?xml version="1.0" encoding="utf-8"?>
<worksheet xmlns="http://schemas.openxmlformats.org/spreadsheetml/2006/main" xmlns:r="http://schemas.openxmlformats.org/officeDocument/2006/relationships">
  <sheetPr codeName="Foglio23"/>
  <dimension ref="A1:M15"/>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B6" sqref="B6"/>
    </sheetView>
  </sheetViews>
  <sheetFormatPr defaultColWidth="9.33203125" defaultRowHeight="10.5"/>
  <cols>
    <col min="1" max="1" width="60.660156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882" t="str">
        <f>'t1'!A1</f>
        <v>AVVOCATURA DI STATO - anno 2021</v>
      </c>
      <c r="B1" s="882"/>
      <c r="C1" s="882"/>
      <c r="D1" s="882"/>
      <c r="E1" s="882"/>
      <c r="F1" s="882"/>
      <c r="G1" s="882"/>
      <c r="H1" s="882"/>
      <c r="I1" s="882"/>
      <c r="J1" s="882"/>
      <c r="K1" s="3"/>
      <c r="L1" s="295"/>
      <c r="M1"/>
    </row>
    <row r="2" spans="2:13" ht="12.75" customHeight="1">
      <c r="B2" s="5"/>
      <c r="C2" s="5"/>
      <c r="D2" s="5"/>
      <c r="E2" s="965"/>
      <c r="F2" s="965"/>
      <c r="G2" s="965"/>
      <c r="H2" s="965"/>
      <c r="I2" s="965"/>
      <c r="J2" s="965"/>
      <c r="K2" s="965"/>
      <c r="L2" s="965"/>
      <c r="M2"/>
    </row>
    <row r="3" spans="1:11" ht="21" customHeight="1">
      <c r="A3" s="181" t="str">
        <f>"Tavola di coerenza tra presenti al 31.12."&amp;'t1'!L1&amp;" rilevati nelle Tabelle 1, 7, 8 e 9 (Squadratura 2)"</f>
        <v>Tavola di coerenza tra presenti al 31.12.2021 rilevati nelle Tabelle 1, 7, 8 e 9 (Squadratura 2)</v>
      </c>
      <c r="C3" s="5"/>
      <c r="D3" s="5"/>
      <c r="E3" s="5"/>
      <c r="F3" s="5"/>
      <c r="G3" s="5"/>
      <c r="H3" s="5"/>
      <c r="I3" s="5"/>
      <c r="J3" s="5"/>
      <c r="K3" s="5"/>
    </row>
    <row r="4" spans="1:12" s="96" customFormat="1" ht="11.25" customHeight="1">
      <c r="A4" s="173"/>
      <c r="B4" s="173"/>
      <c r="C4" s="966" t="s">
        <v>231</v>
      </c>
      <c r="D4" s="967"/>
      <c r="E4" s="967"/>
      <c r="F4" s="967"/>
      <c r="G4" s="968"/>
      <c r="H4" s="966" t="s">
        <v>232</v>
      </c>
      <c r="I4" s="967"/>
      <c r="J4" s="967"/>
      <c r="K4" s="967"/>
      <c r="L4" s="968"/>
    </row>
    <row r="5" spans="1:12" ht="70.5" customHeight="1">
      <c r="A5" s="164" t="s">
        <v>172</v>
      </c>
      <c r="B5" s="164" t="s">
        <v>171</v>
      </c>
      <c r="C5" s="172" t="str">
        <f>"Presenti 31.12."&amp;'t1'!L1&amp;" (Tab 1)"</f>
        <v>Presenti 31.12.2021 (Tab 1)</v>
      </c>
      <c r="D5" s="169" t="s">
        <v>182</v>
      </c>
      <c r="E5" s="169" t="s">
        <v>183</v>
      </c>
      <c r="F5" s="169" t="s">
        <v>9</v>
      </c>
      <c r="G5" s="169" t="s">
        <v>181</v>
      </c>
      <c r="H5" s="172" t="str">
        <f>"Presenti 31.12."&amp;'t1'!L1&amp;" (Tab 1)"</f>
        <v>Presenti 31.12.2021 (Tab 1)</v>
      </c>
      <c r="I5" s="169" t="s">
        <v>182</v>
      </c>
      <c r="J5" s="169" t="s">
        <v>183</v>
      </c>
      <c r="K5" s="169" t="s">
        <v>9</v>
      </c>
      <c r="L5" s="169" t="s">
        <v>181</v>
      </c>
    </row>
    <row r="6" spans="1:12" ht="9.75">
      <c r="A6" s="165"/>
      <c r="B6" s="165"/>
      <c r="C6" s="174" t="s">
        <v>173</v>
      </c>
      <c r="D6" s="174" t="s">
        <v>174</v>
      </c>
      <c r="E6" s="174" t="s">
        <v>175</v>
      </c>
      <c r="F6" s="174" t="s">
        <v>176</v>
      </c>
      <c r="G6" s="175" t="s">
        <v>199</v>
      </c>
      <c r="H6" s="174" t="s">
        <v>177</v>
      </c>
      <c r="I6" s="174" t="s">
        <v>197</v>
      </c>
      <c r="J6" s="174" t="s">
        <v>179</v>
      </c>
      <c r="K6" s="174" t="s">
        <v>187</v>
      </c>
      <c r="L6" s="175" t="s">
        <v>200</v>
      </c>
    </row>
    <row r="7" spans="1:12" ht="12.75" customHeight="1">
      <c r="A7" s="124" t="str">
        <f>'t1'!A6</f>
        <v>AVVOCATO GENERALE</v>
      </c>
      <c r="B7" s="171" t="str">
        <f>'t1'!B6</f>
        <v>0D0381</v>
      </c>
      <c r="C7" s="322">
        <f>'t1'!K6</f>
        <v>0</v>
      </c>
      <c r="D7" s="322">
        <f>'t7'!W6</f>
        <v>0</v>
      </c>
      <c r="E7" s="323">
        <f>'t8'!AA6</f>
        <v>0</v>
      </c>
      <c r="F7" s="323">
        <f>'t9'!O6</f>
        <v>0</v>
      </c>
      <c r="G7" s="97" t="str">
        <f aca="true" t="shared" si="0" ref="G7:G14">IF(COUNTIF(C7:F7,C7)=4,"OK","ERRORE")</f>
        <v>OK</v>
      </c>
      <c r="H7" s="323">
        <f>'t1'!L6</f>
        <v>0</v>
      </c>
      <c r="I7" s="323">
        <f>'t7'!X6</f>
        <v>0</v>
      </c>
      <c r="J7" s="323">
        <f>'t8'!AB6</f>
        <v>0</v>
      </c>
      <c r="K7" s="322">
        <f>'t9'!P6</f>
        <v>0</v>
      </c>
      <c r="L7" s="97" t="str">
        <f aca="true" t="shared" si="1" ref="L7:L14">IF(COUNTIF(H7:K7,H7)=4,"OK","ERRORE")</f>
        <v>OK</v>
      </c>
    </row>
    <row r="8" spans="1:12" ht="12.75" customHeight="1">
      <c r="A8" s="124" t="str">
        <f>'t1'!A7</f>
        <v>AVVOCATO GENERALE AGGIUNTO</v>
      </c>
      <c r="B8" s="171" t="str">
        <f>'t1'!B7</f>
        <v>0D0845</v>
      </c>
      <c r="C8" s="322">
        <f>'t1'!K7</f>
        <v>0</v>
      </c>
      <c r="D8" s="322">
        <f>'t7'!W7</f>
        <v>0</v>
      </c>
      <c r="E8" s="323">
        <f>'t8'!AA7</f>
        <v>0</v>
      </c>
      <c r="F8" s="323">
        <f>'t9'!O7</f>
        <v>0</v>
      </c>
      <c r="G8" s="97" t="str">
        <f t="shared" si="0"/>
        <v>OK</v>
      </c>
      <c r="H8" s="323">
        <f>'t1'!L7</f>
        <v>0</v>
      </c>
      <c r="I8" s="323">
        <f>'t7'!X7</f>
        <v>0</v>
      </c>
      <c r="J8" s="323">
        <f>'t8'!AB7</f>
        <v>0</v>
      </c>
      <c r="K8" s="322">
        <f>'t9'!P7</f>
        <v>0</v>
      </c>
      <c r="L8" s="97" t="str">
        <f t="shared" si="1"/>
        <v>OK</v>
      </c>
    </row>
    <row r="9" spans="1:12" ht="12.75" customHeight="1">
      <c r="A9" s="124" t="str">
        <f>'t1'!A8</f>
        <v>AVVOCATO IV CLASSE</v>
      </c>
      <c r="B9" s="171" t="str">
        <f>'t1'!B8</f>
        <v>0D0380</v>
      </c>
      <c r="C9" s="322">
        <f>'t1'!K8</f>
        <v>0</v>
      </c>
      <c r="D9" s="322">
        <f>'t7'!W8</f>
        <v>0</v>
      </c>
      <c r="E9" s="323">
        <f>'t8'!AA8</f>
        <v>0</v>
      </c>
      <c r="F9" s="323">
        <f>'t9'!O8</f>
        <v>0</v>
      </c>
      <c r="G9" s="97" t="str">
        <f t="shared" si="0"/>
        <v>OK</v>
      </c>
      <c r="H9" s="323">
        <f>'t1'!L8</f>
        <v>0</v>
      </c>
      <c r="I9" s="323">
        <f>'t7'!X8</f>
        <v>0</v>
      </c>
      <c r="J9" s="323">
        <f>'t8'!AB8</f>
        <v>0</v>
      </c>
      <c r="K9" s="322">
        <f>'t9'!P8</f>
        <v>0</v>
      </c>
      <c r="L9" s="97" t="str">
        <f t="shared" si="1"/>
        <v>OK</v>
      </c>
    </row>
    <row r="10" spans="1:12" ht="12.75" customHeight="1">
      <c r="A10" s="124" t="str">
        <f>'t1'!A9</f>
        <v>AVVOCATO III CLASSE</v>
      </c>
      <c r="B10" s="171" t="str">
        <f>'t1'!B9</f>
        <v>0D0379</v>
      </c>
      <c r="C10" s="322">
        <f>'t1'!K9</f>
        <v>0</v>
      </c>
      <c r="D10" s="322">
        <f>'t7'!W9</f>
        <v>0</v>
      </c>
      <c r="E10" s="323">
        <f>'t8'!AA9</f>
        <v>0</v>
      </c>
      <c r="F10" s="323">
        <f>'t9'!O9</f>
        <v>0</v>
      </c>
      <c r="G10" s="97" t="str">
        <f t="shared" si="0"/>
        <v>OK</v>
      </c>
      <c r="H10" s="323">
        <f>'t1'!L9</f>
        <v>0</v>
      </c>
      <c r="I10" s="323">
        <f>'t7'!X9</f>
        <v>0</v>
      </c>
      <c r="J10" s="323">
        <f>'t8'!AB9</f>
        <v>0</v>
      </c>
      <c r="K10" s="322">
        <f>'t9'!P9</f>
        <v>0</v>
      </c>
      <c r="L10" s="97" t="str">
        <f t="shared" si="1"/>
        <v>OK</v>
      </c>
    </row>
    <row r="11" spans="1:12" ht="12.75" customHeight="1">
      <c r="A11" s="124" t="str">
        <f>'t1'!A10</f>
        <v>AVVOCATO II CLASSE ED EQUIP.</v>
      </c>
      <c r="B11" s="171" t="str">
        <f>'t1'!B10</f>
        <v>0D0A2E</v>
      </c>
      <c r="C11" s="322">
        <f>'t1'!K10</f>
        <v>0</v>
      </c>
      <c r="D11" s="322">
        <f>'t7'!W10</f>
        <v>0</v>
      </c>
      <c r="E11" s="323">
        <f>'t8'!AA10</f>
        <v>0</v>
      </c>
      <c r="F11" s="323">
        <f>'t9'!O10</f>
        <v>0</v>
      </c>
      <c r="G11" s="97" t="str">
        <f t="shared" si="0"/>
        <v>OK</v>
      </c>
      <c r="H11" s="323">
        <f>'t1'!L10</f>
        <v>0</v>
      </c>
      <c r="I11" s="323">
        <f>'t7'!X10</f>
        <v>0</v>
      </c>
      <c r="J11" s="323">
        <f>'t8'!AB10</f>
        <v>0</v>
      </c>
      <c r="K11" s="322">
        <f>'t9'!P10</f>
        <v>0</v>
      </c>
      <c r="L11" s="97" t="str">
        <f t="shared" si="1"/>
        <v>OK</v>
      </c>
    </row>
    <row r="12" spans="1:12" ht="12.75" customHeight="1">
      <c r="A12" s="124" t="str">
        <f>'t1'!A11</f>
        <v>AVVOCATO I CLASSE ED EQUIP.</v>
      </c>
      <c r="B12" s="171" t="str">
        <f>'t1'!B11</f>
        <v>0D0A1E</v>
      </c>
      <c r="C12" s="322">
        <f>'t1'!K11</f>
        <v>0</v>
      </c>
      <c r="D12" s="322">
        <f>'t7'!W11</f>
        <v>0</v>
      </c>
      <c r="E12" s="323">
        <f>'t8'!AA11</f>
        <v>0</v>
      </c>
      <c r="F12" s="323">
        <f>'t9'!O11</f>
        <v>0</v>
      </c>
      <c r="G12" s="97" t="str">
        <f t="shared" si="0"/>
        <v>OK</v>
      </c>
      <c r="H12" s="323">
        <f>'t1'!L11</f>
        <v>0</v>
      </c>
      <c r="I12" s="323">
        <f>'t7'!X11</f>
        <v>0</v>
      </c>
      <c r="J12" s="323">
        <f>'t8'!AB11</f>
        <v>0</v>
      </c>
      <c r="K12" s="322">
        <f>'t9'!P11</f>
        <v>0</v>
      </c>
      <c r="L12" s="97" t="str">
        <f t="shared" si="1"/>
        <v>OK</v>
      </c>
    </row>
    <row r="13" spans="1:12" ht="12.75" customHeight="1">
      <c r="A13" s="124" t="str">
        <f>'t1'!A12</f>
        <v>PROCURATORE II CLASSE</v>
      </c>
      <c r="B13" s="171" t="str">
        <f>'t1'!B12</f>
        <v>0D0383</v>
      </c>
      <c r="C13" s="322">
        <f>'t1'!K12</f>
        <v>0</v>
      </c>
      <c r="D13" s="322">
        <f>'t7'!W12</f>
        <v>0</v>
      </c>
      <c r="E13" s="323">
        <f>'t8'!AA12</f>
        <v>0</v>
      </c>
      <c r="F13" s="323">
        <f>'t9'!O12</f>
        <v>0</v>
      </c>
      <c r="G13" s="97" t="str">
        <f t="shared" si="0"/>
        <v>OK</v>
      </c>
      <c r="H13" s="323">
        <f>'t1'!L12</f>
        <v>0</v>
      </c>
      <c r="I13" s="323">
        <f>'t7'!X12</f>
        <v>0</v>
      </c>
      <c r="J13" s="323">
        <f>'t8'!AB12</f>
        <v>0</v>
      </c>
      <c r="K13" s="322">
        <f>'t9'!P12</f>
        <v>0</v>
      </c>
      <c r="L13" s="97" t="str">
        <f t="shared" si="1"/>
        <v>OK</v>
      </c>
    </row>
    <row r="14" spans="1:12" ht="12.75" customHeight="1">
      <c r="A14" s="124" t="str">
        <f>'t1'!A13</f>
        <v>PROCURATORE I CLASSE</v>
      </c>
      <c r="B14" s="171" t="str">
        <f>'t1'!B13</f>
        <v>0D0382</v>
      </c>
      <c r="C14" s="322">
        <f>'t1'!K13</f>
        <v>0</v>
      </c>
      <c r="D14" s="322">
        <f>'t7'!W13</f>
        <v>0</v>
      </c>
      <c r="E14" s="323">
        <f>'t8'!AA13</f>
        <v>0</v>
      </c>
      <c r="F14" s="323">
        <f>'t9'!O13</f>
        <v>0</v>
      </c>
      <c r="G14" s="97" t="str">
        <f t="shared" si="0"/>
        <v>OK</v>
      </c>
      <c r="H14" s="323">
        <f>'t1'!L13</f>
        <v>0</v>
      </c>
      <c r="I14" s="323">
        <f>'t7'!X13</f>
        <v>0</v>
      </c>
      <c r="J14" s="323">
        <f>'t8'!AB13</f>
        <v>0</v>
      </c>
      <c r="K14" s="322">
        <f>'t9'!P13</f>
        <v>0</v>
      </c>
      <c r="L14" s="97" t="str">
        <f t="shared" si="1"/>
        <v>OK</v>
      </c>
    </row>
    <row r="15" spans="1:12" ht="15.75" customHeight="1">
      <c r="A15" s="124" t="str">
        <f>'t1'!A14</f>
        <v>TOTALE</v>
      </c>
      <c r="B15" s="161"/>
      <c r="C15" s="323">
        <f>SUM(C7:C14)</f>
        <v>0</v>
      </c>
      <c r="D15" s="323">
        <f>SUM(D7:D14)</f>
        <v>0</v>
      </c>
      <c r="E15" s="323">
        <f>SUM(E7:E14)</f>
        <v>0</v>
      </c>
      <c r="F15" s="323">
        <f>SUM(F7:F14)</f>
        <v>0</v>
      </c>
      <c r="G15" s="97" t="str">
        <f>IF(COUNTIF(C15:F15,C15)=4,"OK","ERRORE")</f>
        <v>OK</v>
      </c>
      <c r="H15" s="323">
        <f>SUM(H7:H14)</f>
        <v>0</v>
      </c>
      <c r="I15" s="323">
        <f>SUM(I7:I14)</f>
        <v>0</v>
      </c>
      <c r="J15" s="323">
        <f>SUM(J7:J14)</f>
        <v>0</v>
      </c>
      <c r="K15" s="323">
        <f>SUM(K7:K14)</f>
        <v>0</v>
      </c>
      <c r="L15" s="97" t="str">
        <f>IF(COUNTIF(H15:K15,H15)=4,"OK","ERRORE")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19.xml><?xml version="1.0" encoding="utf-8"?>
<worksheet xmlns="http://schemas.openxmlformats.org/spreadsheetml/2006/main" xmlns:r="http://schemas.openxmlformats.org/officeDocument/2006/relationships">
  <sheetPr codeName="Foglio24">
    <tabColor indexed="10"/>
  </sheetPr>
  <dimension ref="A1:Z16"/>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8" sqref="A8:B15"/>
    </sheetView>
  </sheetViews>
  <sheetFormatPr defaultColWidth="9.33203125" defaultRowHeight="10.5"/>
  <cols>
    <col min="1" max="1" width="60.66015625" style="5" customWidth="1"/>
    <col min="2" max="2" width="11" style="7" customWidth="1"/>
    <col min="3" max="3" width="10.83203125" style="7" customWidth="1"/>
    <col min="4" max="5" width="12.83203125" style="7" customWidth="1"/>
    <col min="6" max="6" width="13.66015625" style="7" customWidth="1"/>
    <col min="7" max="10" width="12.83203125" style="7" customWidth="1"/>
    <col min="11" max="13" width="13.33203125" style="7" customWidth="1"/>
    <col min="14" max="14" width="12.66015625" style="7" bestFit="1" customWidth="1"/>
    <col min="15" max="15" width="10.83203125" style="7" customWidth="1"/>
    <col min="16" max="22" width="12.83203125" style="7" customWidth="1"/>
    <col min="23" max="25" width="13.33203125" style="7" customWidth="1"/>
    <col min="26" max="26" width="12.66015625" style="7" bestFit="1" customWidth="1"/>
    <col min="27" max="16384" width="9.33203125" style="5" customWidth="1"/>
  </cols>
  <sheetData>
    <row r="1" spans="1:26" ht="30" customHeight="1">
      <c r="A1" s="882" t="str">
        <f>'t1'!A1</f>
        <v>AVVOCATURA DI STATO - anno 2021</v>
      </c>
      <c r="B1" s="882"/>
      <c r="C1" s="882"/>
      <c r="D1" s="882"/>
      <c r="E1" s="882"/>
      <c r="F1" s="882"/>
      <c r="G1" s="882"/>
      <c r="H1" s="882"/>
      <c r="I1" s="882"/>
      <c r="J1" s="882"/>
      <c r="K1" s="882"/>
      <c r="L1" s="882"/>
      <c r="M1" s="882"/>
      <c r="N1" s="882"/>
      <c r="O1" s="882"/>
      <c r="P1" s="882"/>
      <c r="Q1" s="882"/>
      <c r="R1" s="882"/>
      <c r="S1" s="882"/>
      <c r="T1" s="882"/>
      <c r="U1" s="882"/>
      <c r="V1" s="882"/>
      <c r="W1" s="882"/>
      <c r="X1" s="5"/>
      <c r="Y1" s="5"/>
      <c r="Z1" s="639"/>
    </row>
    <row r="2" spans="1:26" ht="36" customHeight="1">
      <c r="A2" s="972" t="s">
        <v>470</v>
      </c>
      <c r="B2" s="972"/>
      <c r="C2" s="972"/>
      <c r="D2" s="972"/>
      <c r="E2" s="972"/>
      <c r="F2" s="972"/>
      <c r="G2" s="972"/>
      <c r="H2" s="972"/>
      <c r="I2" s="972"/>
      <c r="J2" s="972"/>
      <c r="K2" s="972"/>
      <c r="L2" s="972"/>
      <c r="M2" s="708"/>
      <c r="N2" s="471"/>
      <c r="O2" s="471"/>
      <c r="P2" s="471"/>
      <c r="Q2" s="471"/>
      <c r="R2" s="471"/>
      <c r="S2" s="471"/>
      <c r="T2" s="471"/>
      <c r="U2" s="471"/>
      <c r="V2" s="471"/>
      <c r="W2" s="471"/>
      <c r="X2" s="471"/>
      <c r="Y2" s="708"/>
      <c r="Z2" s="471"/>
    </row>
    <row r="3" spans="1:26" ht="18.75" customHeight="1">
      <c r="A3" s="181" t="str">
        <f>"Tavola di coerenza tra presenti al 31.12."&amp;'t1'!L1&amp;" rilevati in Tabella 1 con il personale rilevato in Tabella 3 e con i presenti rilevati in Tabella 10 (Squadratura 3)(*)"</f>
        <v>Tavola di coerenza tra presenti al 31.12.2021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row>
    <row r="4" spans="1:26" ht="11.25">
      <c r="A4" s="300" t="s">
        <v>202</v>
      </c>
      <c r="C4" s="5"/>
      <c r="D4" s="5"/>
      <c r="E4" s="5"/>
      <c r="F4" s="5"/>
      <c r="G4" s="5"/>
      <c r="H4" s="5"/>
      <c r="I4" s="5"/>
      <c r="J4" s="5"/>
      <c r="K4" s="5"/>
      <c r="L4" s="5"/>
      <c r="M4" s="5"/>
      <c r="N4" s="5"/>
      <c r="O4" s="5"/>
      <c r="P4" s="5"/>
      <c r="Q4" s="5"/>
      <c r="R4" s="5"/>
      <c r="S4" s="5"/>
      <c r="T4" s="5"/>
      <c r="U4" s="5"/>
      <c r="V4" s="5"/>
      <c r="W4" s="5"/>
      <c r="X4" s="5"/>
      <c r="Y4" s="5"/>
      <c r="Z4" s="5"/>
    </row>
    <row r="5" spans="1:26" ht="12.75">
      <c r="A5" s="165"/>
      <c r="B5" s="162"/>
      <c r="C5" s="970" t="s">
        <v>231</v>
      </c>
      <c r="D5" s="971"/>
      <c r="E5" s="971"/>
      <c r="F5" s="971"/>
      <c r="G5" s="971"/>
      <c r="H5" s="971"/>
      <c r="I5" s="971"/>
      <c r="J5" s="971"/>
      <c r="K5" s="971"/>
      <c r="L5" s="971"/>
      <c r="M5" s="971"/>
      <c r="N5" s="971"/>
      <c r="O5" s="969" t="s">
        <v>232</v>
      </c>
      <c r="P5" s="969"/>
      <c r="Q5" s="969"/>
      <c r="R5" s="969"/>
      <c r="S5" s="969"/>
      <c r="T5" s="969"/>
      <c r="U5" s="969"/>
      <c r="V5" s="969"/>
      <c r="W5" s="969"/>
      <c r="X5" s="969"/>
      <c r="Y5" s="969"/>
      <c r="Z5" s="969"/>
    </row>
    <row r="6" spans="1:26" s="180" customFormat="1" ht="64.5" customHeight="1">
      <c r="A6" s="169" t="s">
        <v>172</v>
      </c>
      <c r="B6" s="169" t="s">
        <v>171</v>
      </c>
      <c r="C6" s="169" t="str">
        <f>"Presenti 31.12."&amp;'t1'!L1&amp;" (Tab 1)"</f>
        <v>Presenti 31.12.2021 (Tab 1)</v>
      </c>
      <c r="D6" s="169" t="s">
        <v>185</v>
      </c>
      <c r="E6" s="169" t="s">
        <v>184</v>
      </c>
      <c r="F6" s="169" t="s">
        <v>279</v>
      </c>
      <c r="G6" s="169" t="s">
        <v>201</v>
      </c>
      <c r="H6" s="169" t="s">
        <v>186</v>
      </c>
      <c r="I6" s="169" t="s">
        <v>280</v>
      </c>
      <c r="J6" s="538" t="s">
        <v>512</v>
      </c>
      <c r="K6" s="169" t="s">
        <v>203</v>
      </c>
      <c r="L6" s="169" t="s">
        <v>204</v>
      </c>
      <c r="M6" s="538" t="s">
        <v>465</v>
      </c>
      <c r="N6" s="538" t="s">
        <v>466</v>
      </c>
      <c r="O6" s="169" t="str">
        <f>"Presenti 31.12."&amp;'t1'!L1&amp;" (Tab 1)"</f>
        <v>Presenti 31.12.2021 (Tab 1)</v>
      </c>
      <c r="P6" s="169" t="s">
        <v>185</v>
      </c>
      <c r="Q6" s="169" t="s">
        <v>184</v>
      </c>
      <c r="R6" s="169" t="s">
        <v>279</v>
      </c>
      <c r="S6" s="169" t="s">
        <v>201</v>
      </c>
      <c r="T6" s="169" t="s">
        <v>186</v>
      </c>
      <c r="U6" s="169" t="s">
        <v>280</v>
      </c>
      <c r="V6" s="538" t="s">
        <v>512</v>
      </c>
      <c r="W6" s="169" t="s">
        <v>203</v>
      </c>
      <c r="X6" s="169" t="s">
        <v>204</v>
      </c>
      <c r="Y6" s="538" t="s">
        <v>465</v>
      </c>
      <c r="Z6" s="538" t="s">
        <v>466</v>
      </c>
    </row>
    <row r="7" spans="1:26" s="178" customFormat="1" ht="20.25">
      <c r="A7" s="177"/>
      <c r="B7" s="177"/>
      <c r="C7" s="174" t="s">
        <v>173</v>
      </c>
      <c r="D7" s="174" t="s">
        <v>174</v>
      </c>
      <c r="E7" s="174" t="s">
        <v>175</v>
      </c>
      <c r="F7" s="174" t="s">
        <v>176</v>
      </c>
      <c r="G7" s="175" t="s">
        <v>177</v>
      </c>
      <c r="H7" s="175" t="s">
        <v>197</v>
      </c>
      <c r="I7" s="175" t="s">
        <v>179</v>
      </c>
      <c r="J7" s="175" t="s">
        <v>188</v>
      </c>
      <c r="K7" s="175" t="s">
        <v>2</v>
      </c>
      <c r="L7" s="175" t="s">
        <v>3</v>
      </c>
      <c r="M7" s="175" t="s">
        <v>467</v>
      </c>
      <c r="N7" s="175" t="s">
        <v>4</v>
      </c>
      <c r="O7" s="174" t="s">
        <v>189</v>
      </c>
      <c r="P7" s="174" t="s">
        <v>190</v>
      </c>
      <c r="Q7" s="174" t="s">
        <v>191</v>
      </c>
      <c r="R7" s="174" t="s">
        <v>281</v>
      </c>
      <c r="S7" s="175" t="s">
        <v>192</v>
      </c>
      <c r="T7" s="175" t="s">
        <v>282</v>
      </c>
      <c r="U7" s="175" t="s">
        <v>283</v>
      </c>
      <c r="V7" s="175" t="s">
        <v>284</v>
      </c>
      <c r="W7" s="175" t="s">
        <v>5</v>
      </c>
      <c r="X7" s="175" t="s">
        <v>6</v>
      </c>
      <c r="Y7" s="175" t="s">
        <v>468</v>
      </c>
      <c r="Z7" s="175" t="s">
        <v>7</v>
      </c>
    </row>
    <row r="8" spans="1:26" ht="12.75" customHeight="1">
      <c r="A8" s="124" t="str">
        <f>'t1'!A6</f>
        <v>AVVOCATO GENERALE</v>
      </c>
      <c r="B8" s="171" t="str">
        <f>'t1'!B6</f>
        <v>0D0381</v>
      </c>
      <c r="C8" s="322">
        <f>'t1'!K6</f>
        <v>0</v>
      </c>
      <c r="D8" s="322">
        <f>'t3'!K6</f>
        <v>0</v>
      </c>
      <c r="E8" s="323">
        <f>'t3'!M6</f>
        <v>0</v>
      </c>
      <c r="F8" s="323">
        <f>'t3'!O6</f>
        <v>0</v>
      </c>
      <c r="G8" s="323">
        <f>'t3'!C6</f>
        <v>0</v>
      </c>
      <c r="H8" s="323">
        <f>'t3'!E6</f>
        <v>0</v>
      </c>
      <c r="I8" s="323">
        <f>'t3'!G6</f>
        <v>0</v>
      </c>
      <c r="J8" s="323">
        <f>'t3'!I6</f>
        <v>0</v>
      </c>
      <c r="K8" s="323">
        <f>C8+D8+E8+F8-G8-H8-I8-J8</f>
        <v>0</v>
      </c>
      <c r="L8" s="323">
        <f>'t10'!AU6</f>
        <v>0</v>
      </c>
      <c r="M8" s="323" t="str">
        <f>IF(C8&lt;(G8+H8+I8+J8),"ERRORE","OK")</f>
        <v>OK</v>
      </c>
      <c r="N8" s="97" t="str">
        <f>IF(K8=L8,"OK","ERRORE")</f>
        <v>OK</v>
      </c>
      <c r="O8" s="322">
        <f>'t1'!L6</f>
        <v>0</v>
      </c>
      <c r="P8" s="322">
        <f>'t3'!L6</f>
        <v>0</v>
      </c>
      <c r="Q8" s="323">
        <f>'t3'!N6</f>
        <v>0</v>
      </c>
      <c r="R8" s="323">
        <f>'t3'!P6</f>
        <v>0</v>
      </c>
      <c r="S8" s="323">
        <f>'t3'!D6</f>
        <v>0</v>
      </c>
      <c r="T8" s="323">
        <f>'t3'!F6</f>
        <v>0</v>
      </c>
      <c r="U8" s="323">
        <f>'t3'!H6</f>
        <v>0</v>
      </c>
      <c r="V8" s="323">
        <f>'t3'!J6</f>
        <v>0</v>
      </c>
      <c r="W8" s="323">
        <f>O8+P8+Q8+R8-S8-T8-U8-V8</f>
        <v>0</v>
      </c>
      <c r="X8" s="323">
        <f>'t10'!AV6</f>
        <v>0</v>
      </c>
      <c r="Y8" s="323" t="str">
        <f>IF(O8&lt;(S8+T8+U8+V8),"ERRORE","OK")</f>
        <v>OK</v>
      </c>
      <c r="Z8" s="176" t="str">
        <f>IF(W8=X8,"OK","ERRORE")</f>
        <v>OK</v>
      </c>
    </row>
    <row r="9" spans="1:26" ht="12.75" customHeight="1">
      <c r="A9" s="124" t="str">
        <f>'t1'!A7</f>
        <v>AVVOCATO GENERALE AGGIUNTO</v>
      </c>
      <c r="B9" s="171" t="str">
        <f>'t1'!B7</f>
        <v>0D0845</v>
      </c>
      <c r="C9" s="322">
        <f>'t1'!K7</f>
        <v>0</v>
      </c>
      <c r="D9" s="322">
        <f>'t3'!K7</f>
        <v>0</v>
      </c>
      <c r="E9" s="323">
        <f>'t3'!M7</f>
        <v>0</v>
      </c>
      <c r="F9" s="323">
        <f>'t3'!O7</f>
        <v>0</v>
      </c>
      <c r="G9" s="323">
        <f>'t3'!C7</f>
        <v>0</v>
      </c>
      <c r="H9" s="323">
        <f>'t3'!E7</f>
        <v>0</v>
      </c>
      <c r="I9" s="323">
        <f>'t3'!G7</f>
        <v>0</v>
      </c>
      <c r="J9" s="323">
        <f>'t3'!I7</f>
        <v>0</v>
      </c>
      <c r="K9" s="323">
        <f aca="true" t="shared" si="0" ref="K9:K16">C9+D9+E9+F9-G9-H9-I9-J9</f>
        <v>0</v>
      </c>
      <c r="L9" s="323">
        <f>'t10'!AU7</f>
        <v>0</v>
      </c>
      <c r="M9" s="323" t="str">
        <f aca="true" t="shared" si="1" ref="M9:M16">IF(C9&lt;(G9+H9+I9+J9),"ERRORE","OK")</f>
        <v>OK</v>
      </c>
      <c r="N9" s="97" t="str">
        <f aca="true" t="shared" si="2" ref="N9:N16">IF(K9=L9,"OK","ERRORE")</f>
        <v>OK</v>
      </c>
      <c r="O9" s="322">
        <f>'t1'!L7</f>
        <v>0</v>
      </c>
      <c r="P9" s="322">
        <f>'t3'!L7</f>
        <v>0</v>
      </c>
      <c r="Q9" s="323">
        <f>'t3'!N7</f>
        <v>0</v>
      </c>
      <c r="R9" s="323">
        <f>'t3'!P7</f>
        <v>0</v>
      </c>
      <c r="S9" s="323">
        <f>'t3'!D7</f>
        <v>0</v>
      </c>
      <c r="T9" s="323">
        <f>'t3'!F7</f>
        <v>0</v>
      </c>
      <c r="U9" s="323">
        <f>'t3'!H7</f>
        <v>0</v>
      </c>
      <c r="V9" s="323">
        <f>'t3'!J7</f>
        <v>0</v>
      </c>
      <c r="W9" s="323">
        <f aca="true" t="shared" si="3" ref="W9:W16">O9+P9+Q9+R9-S9-T9-U9-V9</f>
        <v>0</v>
      </c>
      <c r="X9" s="323">
        <f>'t10'!AV7</f>
        <v>0</v>
      </c>
      <c r="Y9" s="323" t="str">
        <f aca="true" t="shared" si="4" ref="Y9:Y16">IF(O9&lt;(S9+T9+U9+V9),"ERRORE","OK")</f>
        <v>OK</v>
      </c>
      <c r="Z9" s="176" t="str">
        <f aca="true" t="shared" si="5" ref="Z9:Z16">IF(W9=X9,"OK","ERRORE")</f>
        <v>OK</v>
      </c>
    </row>
    <row r="10" spans="1:26" ht="12.75" customHeight="1">
      <c r="A10" s="124" t="str">
        <f>'t1'!A8</f>
        <v>AVVOCATO IV CLASSE</v>
      </c>
      <c r="B10" s="171" t="str">
        <f>'t1'!B8</f>
        <v>0D0380</v>
      </c>
      <c r="C10" s="322">
        <f>'t1'!K8</f>
        <v>0</v>
      </c>
      <c r="D10" s="322">
        <f>'t3'!K8</f>
        <v>0</v>
      </c>
      <c r="E10" s="323">
        <f>'t3'!M8</f>
        <v>0</v>
      </c>
      <c r="F10" s="323">
        <f>'t3'!O8</f>
        <v>0</v>
      </c>
      <c r="G10" s="323">
        <f>'t3'!C8</f>
        <v>0</v>
      </c>
      <c r="H10" s="323">
        <f>'t3'!E8</f>
        <v>0</v>
      </c>
      <c r="I10" s="323">
        <f>'t3'!G8</f>
        <v>0</v>
      </c>
      <c r="J10" s="323">
        <f>'t3'!I8</f>
        <v>0</v>
      </c>
      <c r="K10" s="323">
        <f t="shared" si="0"/>
        <v>0</v>
      </c>
      <c r="L10" s="323">
        <f>'t10'!AU8</f>
        <v>0</v>
      </c>
      <c r="M10" s="323" t="str">
        <f t="shared" si="1"/>
        <v>OK</v>
      </c>
      <c r="N10" s="97" t="str">
        <f t="shared" si="2"/>
        <v>OK</v>
      </c>
      <c r="O10" s="322">
        <f>'t1'!L8</f>
        <v>0</v>
      </c>
      <c r="P10" s="322">
        <f>'t3'!L8</f>
        <v>0</v>
      </c>
      <c r="Q10" s="323">
        <f>'t3'!N8</f>
        <v>0</v>
      </c>
      <c r="R10" s="323">
        <f>'t3'!P8</f>
        <v>0</v>
      </c>
      <c r="S10" s="323">
        <f>'t3'!D8</f>
        <v>0</v>
      </c>
      <c r="T10" s="323">
        <f>'t3'!F8</f>
        <v>0</v>
      </c>
      <c r="U10" s="323">
        <f>'t3'!H8</f>
        <v>0</v>
      </c>
      <c r="V10" s="323">
        <f>'t3'!J8</f>
        <v>0</v>
      </c>
      <c r="W10" s="323">
        <f t="shared" si="3"/>
        <v>0</v>
      </c>
      <c r="X10" s="323">
        <f>'t10'!AV8</f>
        <v>0</v>
      </c>
      <c r="Y10" s="323" t="str">
        <f t="shared" si="4"/>
        <v>OK</v>
      </c>
      <c r="Z10" s="176" t="str">
        <f t="shared" si="5"/>
        <v>OK</v>
      </c>
    </row>
    <row r="11" spans="1:26" ht="12.75" customHeight="1">
      <c r="A11" s="124" t="str">
        <f>'t1'!A9</f>
        <v>AVVOCATO III CLASSE</v>
      </c>
      <c r="B11" s="171" t="str">
        <f>'t1'!B9</f>
        <v>0D0379</v>
      </c>
      <c r="C11" s="322">
        <f>'t1'!K9</f>
        <v>0</v>
      </c>
      <c r="D11" s="322">
        <f>'t3'!K9</f>
        <v>0</v>
      </c>
      <c r="E11" s="323">
        <f>'t3'!M9</f>
        <v>0</v>
      </c>
      <c r="F11" s="323">
        <f>'t3'!O9</f>
        <v>0</v>
      </c>
      <c r="G11" s="323">
        <f>'t3'!C9</f>
        <v>0</v>
      </c>
      <c r="H11" s="323">
        <f>'t3'!E9</f>
        <v>0</v>
      </c>
      <c r="I11" s="323">
        <f>'t3'!G9</f>
        <v>0</v>
      </c>
      <c r="J11" s="323">
        <f>'t3'!I9</f>
        <v>0</v>
      </c>
      <c r="K11" s="323">
        <f t="shared" si="0"/>
        <v>0</v>
      </c>
      <c r="L11" s="323">
        <f>'t10'!AU9</f>
        <v>0</v>
      </c>
      <c r="M11" s="323" t="str">
        <f t="shared" si="1"/>
        <v>OK</v>
      </c>
      <c r="N11" s="97" t="str">
        <f t="shared" si="2"/>
        <v>OK</v>
      </c>
      <c r="O11" s="322">
        <f>'t1'!L9</f>
        <v>0</v>
      </c>
      <c r="P11" s="322">
        <f>'t3'!L9</f>
        <v>0</v>
      </c>
      <c r="Q11" s="323">
        <f>'t3'!N9</f>
        <v>0</v>
      </c>
      <c r="R11" s="323">
        <f>'t3'!P9</f>
        <v>0</v>
      </c>
      <c r="S11" s="323">
        <f>'t3'!D9</f>
        <v>0</v>
      </c>
      <c r="T11" s="323">
        <f>'t3'!F9</f>
        <v>0</v>
      </c>
      <c r="U11" s="323">
        <f>'t3'!H9</f>
        <v>0</v>
      </c>
      <c r="V11" s="323">
        <f>'t3'!J9</f>
        <v>0</v>
      </c>
      <c r="W11" s="323">
        <f t="shared" si="3"/>
        <v>0</v>
      </c>
      <c r="X11" s="323">
        <f>'t10'!AV9</f>
        <v>0</v>
      </c>
      <c r="Y11" s="323" t="str">
        <f t="shared" si="4"/>
        <v>OK</v>
      </c>
      <c r="Z11" s="176" t="str">
        <f t="shared" si="5"/>
        <v>OK</v>
      </c>
    </row>
    <row r="12" spans="1:26" ht="12.75" customHeight="1">
      <c r="A12" s="124" t="str">
        <f>'t1'!A10</f>
        <v>AVVOCATO II CLASSE ED EQUIP.</v>
      </c>
      <c r="B12" s="171" t="str">
        <f>'t1'!B10</f>
        <v>0D0A2E</v>
      </c>
      <c r="C12" s="322">
        <f>'t1'!K10</f>
        <v>0</v>
      </c>
      <c r="D12" s="322">
        <f>'t3'!K10</f>
        <v>0</v>
      </c>
      <c r="E12" s="323">
        <f>'t3'!M10</f>
        <v>0</v>
      </c>
      <c r="F12" s="323">
        <f>'t3'!O10</f>
        <v>0</v>
      </c>
      <c r="G12" s="323">
        <f>'t3'!C10</f>
        <v>0</v>
      </c>
      <c r="H12" s="323">
        <f>'t3'!E10</f>
        <v>0</v>
      </c>
      <c r="I12" s="323">
        <f>'t3'!G10</f>
        <v>0</v>
      </c>
      <c r="J12" s="323">
        <f>'t3'!I10</f>
        <v>0</v>
      </c>
      <c r="K12" s="323">
        <f t="shared" si="0"/>
        <v>0</v>
      </c>
      <c r="L12" s="323">
        <f>'t10'!AU10</f>
        <v>0</v>
      </c>
      <c r="M12" s="323" t="str">
        <f t="shared" si="1"/>
        <v>OK</v>
      </c>
      <c r="N12" s="97" t="str">
        <f t="shared" si="2"/>
        <v>OK</v>
      </c>
      <c r="O12" s="322">
        <f>'t1'!L10</f>
        <v>0</v>
      </c>
      <c r="P12" s="322">
        <f>'t3'!L10</f>
        <v>0</v>
      </c>
      <c r="Q12" s="323">
        <f>'t3'!N10</f>
        <v>0</v>
      </c>
      <c r="R12" s="323">
        <f>'t3'!P10</f>
        <v>0</v>
      </c>
      <c r="S12" s="323">
        <f>'t3'!D10</f>
        <v>0</v>
      </c>
      <c r="T12" s="323">
        <f>'t3'!F10</f>
        <v>0</v>
      </c>
      <c r="U12" s="323">
        <f>'t3'!H10</f>
        <v>0</v>
      </c>
      <c r="V12" s="323">
        <f>'t3'!J10</f>
        <v>0</v>
      </c>
      <c r="W12" s="323">
        <f t="shared" si="3"/>
        <v>0</v>
      </c>
      <c r="X12" s="323">
        <f>'t10'!AV10</f>
        <v>0</v>
      </c>
      <c r="Y12" s="323" t="str">
        <f t="shared" si="4"/>
        <v>OK</v>
      </c>
      <c r="Z12" s="176" t="str">
        <f t="shared" si="5"/>
        <v>OK</v>
      </c>
    </row>
    <row r="13" spans="1:26" ht="12.75" customHeight="1">
      <c r="A13" s="124" t="str">
        <f>'t1'!A11</f>
        <v>AVVOCATO I CLASSE ED EQUIP.</v>
      </c>
      <c r="B13" s="171" t="str">
        <f>'t1'!B11</f>
        <v>0D0A1E</v>
      </c>
      <c r="C13" s="322">
        <f>'t1'!K11</f>
        <v>0</v>
      </c>
      <c r="D13" s="322">
        <f>'t3'!K11</f>
        <v>0</v>
      </c>
      <c r="E13" s="323">
        <f>'t3'!M11</f>
        <v>0</v>
      </c>
      <c r="F13" s="323">
        <f>'t3'!O11</f>
        <v>0</v>
      </c>
      <c r="G13" s="323">
        <f>'t3'!C11</f>
        <v>0</v>
      </c>
      <c r="H13" s="323">
        <f>'t3'!E11</f>
        <v>0</v>
      </c>
      <c r="I13" s="323">
        <f>'t3'!G11</f>
        <v>0</v>
      </c>
      <c r="J13" s="323">
        <f>'t3'!I11</f>
        <v>0</v>
      </c>
      <c r="K13" s="323">
        <f t="shared" si="0"/>
        <v>0</v>
      </c>
      <c r="L13" s="323">
        <f>'t10'!AU11</f>
        <v>0</v>
      </c>
      <c r="M13" s="323" t="str">
        <f t="shared" si="1"/>
        <v>OK</v>
      </c>
      <c r="N13" s="97" t="str">
        <f t="shared" si="2"/>
        <v>OK</v>
      </c>
      <c r="O13" s="322">
        <f>'t1'!L11</f>
        <v>0</v>
      </c>
      <c r="P13" s="322">
        <f>'t3'!L11</f>
        <v>0</v>
      </c>
      <c r="Q13" s="323">
        <f>'t3'!N11</f>
        <v>0</v>
      </c>
      <c r="R13" s="323">
        <f>'t3'!P11</f>
        <v>0</v>
      </c>
      <c r="S13" s="323">
        <f>'t3'!D11</f>
        <v>0</v>
      </c>
      <c r="T13" s="323">
        <f>'t3'!F11</f>
        <v>0</v>
      </c>
      <c r="U13" s="323">
        <f>'t3'!H11</f>
        <v>0</v>
      </c>
      <c r="V13" s="323">
        <f>'t3'!J11</f>
        <v>0</v>
      </c>
      <c r="W13" s="323">
        <f t="shared" si="3"/>
        <v>0</v>
      </c>
      <c r="X13" s="323">
        <f>'t10'!AV11</f>
        <v>0</v>
      </c>
      <c r="Y13" s="323" t="str">
        <f t="shared" si="4"/>
        <v>OK</v>
      </c>
      <c r="Z13" s="176" t="str">
        <f t="shared" si="5"/>
        <v>OK</v>
      </c>
    </row>
    <row r="14" spans="1:26" ht="12.75" customHeight="1">
      <c r="A14" s="124" t="str">
        <f>'t1'!A12</f>
        <v>PROCURATORE II CLASSE</v>
      </c>
      <c r="B14" s="171" t="str">
        <f>'t1'!B12</f>
        <v>0D0383</v>
      </c>
      <c r="C14" s="322">
        <f>'t1'!K12</f>
        <v>0</v>
      </c>
      <c r="D14" s="322">
        <f>'t3'!K12</f>
        <v>0</v>
      </c>
      <c r="E14" s="323">
        <f>'t3'!M12</f>
        <v>0</v>
      </c>
      <c r="F14" s="323">
        <f>'t3'!O12</f>
        <v>0</v>
      </c>
      <c r="G14" s="323">
        <f>'t3'!C12</f>
        <v>0</v>
      </c>
      <c r="H14" s="323">
        <f>'t3'!E12</f>
        <v>0</v>
      </c>
      <c r="I14" s="323">
        <f>'t3'!G12</f>
        <v>0</v>
      </c>
      <c r="J14" s="323">
        <f>'t3'!I12</f>
        <v>0</v>
      </c>
      <c r="K14" s="323">
        <f t="shared" si="0"/>
        <v>0</v>
      </c>
      <c r="L14" s="323">
        <f>'t10'!AU12</f>
        <v>0</v>
      </c>
      <c r="M14" s="323" t="str">
        <f t="shared" si="1"/>
        <v>OK</v>
      </c>
      <c r="N14" s="97" t="str">
        <f t="shared" si="2"/>
        <v>OK</v>
      </c>
      <c r="O14" s="322">
        <f>'t1'!L12</f>
        <v>0</v>
      </c>
      <c r="P14" s="322">
        <f>'t3'!L12</f>
        <v>0</v>
      </c>
      <c r="Q14" s="323">
        <f>'t3'!N12</f>
        <v>0</v>
      </c>
      <c r="R14" s="323">
        <f>'t3'!P12</f>
        <v>0</v>
      </c>
      <c r="S14" s="323">
        <f>'t3'!D12</f>
        <v>0</v>
      </c>
      <c r="T14" s="323">
        <f>'t3'!F12</f>
        <v>0</v>
      </c>
      <c r="U14" s="323">
        <f>'t3'!H12</f>
        <v>0</v>
      </c>
      <c r="V14" s="323">
        <f>'t3'!J12</f>
        <v>0</v>
      </c>
      <c r="W14" s="323">
        <f t="shared" si="3"/>
        <v>0</v>
      </c>
      <c r="X14" s="323">
        <f>'t10'!AV12</f>
        <v>0</v>
      </c>
      <c r="Y14" s="323" t="str">
        <f t="shared" si="4"/>
        <v>OK</v>
      </c>
      <c r="Z14" s="176" t="str">
        <f t="shared" si="5"/>
        <v>OK</v>
      </c>
    </row>
    <row r="15" spans="1:26" ht="12.75" customHeight="1">
      <c r="A15" s="124" t="str">
        <f>'t1'!A13</f>
        <v>PROCURATORE I CLASSE</v>
      </c>
      <c r="B15" s="171" t="str">
        <f>'t1'!B13</f>
        <v>0D0382</v>
      </c>
      <c r="C15" s="322">
        <f>'t1'!K13</f>
        <v>0</v>
      </c>
      <c r="D15" s="322">
        <f>'t3'!K13</f>
        <v>0</v>
      </c>
      <c r="E15" s="323">
        <f>'t3'!M13</f>
        <v>0</v>
      </c>
      <c r="F15" s="323">
        <f>'t3'!O13</f>
        <v>0</v>
      </c>
      <c r="G15" s="323">
        <f>'t3'!C13</f>
        <v>0</v>
      </c>
      <c r="H15" s="323">
        <f>'t3'!E13</f>
        <v>0</v>
      </c>
      <c r="I15" s="323">
        <f>'t3'!G13</f>
        <v>0</v>
      </c>
      <c r="J15" s="323">
        <f>'t3'!I13</f>
        <v>0</v>
      </c>
      <c r="K15" s="323">
        <f t="shared" si="0"/>
        <v>0</v>
      </c>
      <c r="L15" s="323">
        <f>'t10'!AU13</f>
        <v>0</v>
      </c>
      <c r="M15" s="323" t="str">
        <f t="shared" si="1"/>
        <v>OK</v>
      </c>
      <c r="N15" s="97" t="str">
        <f t="shared" si="2"/>
        <v>OK</v>
      </c>
      <c r="O15" s="322">
        <f>'t1'!L13</f>
        <v>0</v>
      </c>
      <c r="P15" s="322">
        <f>'t3'!L13</f>
        <v>0</v>
      </c>
      <c r="Q15" s="323">
        <f>'t3'!N13</f>
        <v>0</v>
      </c>
      <c r="R15" s="323">
        <f>'t3'!P13</f>
        <v>0</v>
      </c>
      <c r="S15" s="323">
        <f>'t3'!D13</f>
        <v>0</v>
      </c>
      <c r="T15" s="323">
        <f>'t3'!F13</f>
        <v>0</v>
      </c>
      <c r="U15" s="323">
        <f>'t3'!H13</f>
        <v>0</v>
      </c>
      <c r="V15" s="323">
        <f>'t3'!J13</f>
        <v>0</v>
      </c>
      <c r="W15" s="323">
        <f t="shared" si="3"/>
        <v>0</v>
      </c>
      <c r="X15" s="323">
        <f>'t10'!AV13</f>
        <v>0</v>
      </c>
      <c r="Y15" s="323" t="str">
        <f t="shared" si="4"/>
        <v>OK</v>
      </c>
      <c r="Z15" s="176" t="str">
        <f t="shared" si="5"/>
        <v>OK</v>
      </c>
    </row>
    <row r="16" spans="1:26" ht="15.75" customHeight="1">
      <c r="A16" s="124" t="str">
        <f>'t1'!A14</f>
        <v>TOTALE</v>
      </c>
      <c r="B16" s="161"/>
      <c r="C16" s="322">
        <f aca="true" t="shared" si="6" ref="C16:L16">SUM(C8:C15)</f>
        <v>0</v>
      </c>
      <c r="D16" s="322">
        <f t="shared" si="6"/>
        <v>0</v>
      </c>
      <c r="E16" s="322">
        <f t="shared" si="6"/>
        <v>0</v>
      </c>
      <c r="F16" s="322">
        <f t="shared" si="6"/>
        <v>0</v>
      </c>
      <c r="G16" s="322">
        <f t="shared" si="6"/>
        <v>0</v>
      </c>
      <c r="H16" s="322">
        <f t="shared" si="6"/>
        <v>0</v>
      </c>
      <c r="I16" s="322">
        <f t="shared" si="6"/>
        <v>0</v>
      </c>
      <c r="J16" s="322">
        <f t="shared" si="6"/>
        <v>0</v>
      </c>
      <c r="K16" s="323">
        <f t="shared" si="0"/>
        <v>0</v>
      </c>
      <c r="L16" s="322">
        <f t="shared" si="6"/>
        <v>0</v>
      </c>
      <c r="M16" s="323" t="str">
        <f t="shared" si="1"/>
        <v>OK</v>
      </c>
      <c r="N16" s="97" t="str">
        <f t="shared" si="2"/>
        <v>OK</v>
      </c>
      <c r="O16" s="322">
        <f aca="true" t="shared" si="7" ref="O16:X16">SUM(O8:O15)</f>
        <v>0</v>
      </c>
      <c r="P16" s="322">
        <f t="shared" si="7"/>
        <v>0</v>
      </c>
      <c r="Q16" s="322">
        <f t="shared" si="7"/>
        <v>0</v>
      </c>
      <c r="R16" s="322">
        <f t="shared" si="7"/>
        <v>0</v>
      </c>
      <c r="S16" s="322">
        <f t="shared" si="7"/>
        <v>0</v>
      </c>
      <c r="T16" s="322">
        <f t="shared" si="7"/>
        <v>0</v>
      </c>
      <c r="U16" s="322">
        <f t="shared" si="7"/>
        <v>0</v>
      </c>
      <c r="V16" s="322">
        <f t="shared" si="7"/>
        <v>0</v>
      </c>
      <c r="W16" s="323">
        <f t="shared" si="3"/>
        <v>0</v>
      </c>
      <c r="X16" s="322">
        <f t="shared" si="7"/>
        <v>0</v>
      </c>
      <c r="Y16" s="323" t="str">
        <f t="shared" si="4"/>
        <v>OK</v>
      </c>
      <c r="Z16" s="176" t="str">
        <f t="shared" si="5"/>
        <v>OK</v>
      </c>
    </row>
  </sheetData>
  <sheetProtection formatColumns="0" selectLockedCells="1" selectUnlockedCells="1"/>
  <mergeCells count="4">
    <mergeCell ref="O5:Z5"/>
    <mergeCell ref="C5:N5"/>
    <mergeCell ref="A1:W1"/>
    <mergeCell ref="A2:L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sheetPr codeName="Foglio8"/>
  <dimension ref="A1:AK17"/>
  <sheetViews>
    <sheetView showGridLines="0" zoomScalePageLayoutView="0" workbookViewId="0" topLeftCell="A1">
      <pane xSplit="2" ySplit="5" topLeftCell="K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35.66015625" style="5" customWidth="1"/>
    <col min="2" max="2" width="9.66015625" style="7" customWidth="1"/>
    <col min="3" max="12" width="12.83203125" style="5" hidden="1" customWidth="1"/>
    <col min="13" max="13" width="9.33203125" style="740" hidden="1" customWidth="1"/>
    <col min="14" max="26" width="9.33203125" style="5" hidden="1" customWidth="1"/>
    <col min="27" max="36" width="12.83203125" style="5" customWidth="1"/>
    <col min="37" max="37" width="9.33203125" style="740" customWidth="1"/>
    <col min="38" max="16384" width="9.33203125" style="5" customWidth="1"/>
  </cols>
  <sheetData>
    <row r="1" spans="1:35" ht="24.75" customHeight="1" thickBot="1">
      <c r="A1" s="761" t="str">
        <f>"AVVOCATURA DI STATO"&amp;" - anno "&amp;$L$1</f>
        <v>AVVOCATURA DI STATO - anno 2021</v>
      </c>
      <c r="B1" s="761"/>
      <c r="C1" s="761"/>
      <c r="D1" s="761"/>
      <c r="E1" s="761"/>
      <c r="F1" s="761"/>
      <c r="G1" s="761"/>
      <c r="H1" s="761"/>
      <c r="I1" s="761"/>
      <c r="J1" s="761"/>
      <c r="K1" s="348"/>
      <c r="L1" s="633">
        <v>2021</v>
      </c>
      <c r="AI1" s="348"/>
    </row>
    <row r="2" spans="1:36" ht="30" customHeight="1" thickBot="1">
      <c r="A2" s="380"/>
      <c r="B2" s="381"/>
      <c r="C2" s="349"/>
      <c r="D2" s="349"/>
      <c r="E2" s="349"/>
      <c r="F2" s="349"/>
      <c r="G2" s="879"/>
      <c r="H2" s="880"/>
      <c r="I2" s="880"/>
      <c r="J2" s="880"/>
      <c r="K2" s="880"/>
      <c r="L2" s="881"/>
      <c r="AA2" s="349"/>
      <c r="AB2" s="349"/>
      <c r="AC2" s="349"/>
      <c r="AD2" s="349"/>
      <c r="AE2" s="810"/>
      <c r="AF2" s="810"/>
      <c r="AG2" s="810"/>
      <c r="AH2" s="810"/>
      <c r="AI2" s="810"/>
      <c r="AJ2" s="810"/>
    </row>
    <row r="3" spans="1:36" ht="15" customHeight="1" thickBot="1">
      <c r="A3" s="351"/>
      <c r="B3" s="352"/>
      <c r="C3" s="872" t="s">
        <v>54</v>
      </c>
      <c r="D3" s="872"/>
      <c r="E3" s="872"/>
      <c r="F3" s="872"/>
      <c r="G3" s="873"/>
      <c r="H3" s="873"/>
      <c r="I3" s="873"/>
      <c r="J3" s="873"/>
      <c r="K3" s="873"/>
      <c r="L3" s="874"/>
      <c r="AA3" s="869" t="s">
        <v>54</v>
      </c>
      <c r="AB3" s="870"/>
      <c r="AC3" s="870"/>
      <c r="AD3" s="870"/>
      <c r="AE3" s="870"/>
      <c r="AF3" s="870"/>
      <c r="AG3" s="870"/>
      <c r="AH3" s="870"/>
      <c r="AI3" s="870"/>
      <c r="AJ3" s="871"/>
    </row>
    <row r="4" spans="1:36" ht="21" thickTop="1">
      <c r="A4" s="875" t="s">
        <v>117</v>
      </c>
      <c r="B4" s="877" t="s">
        <v>55</v>
      </c>
      <c r="C4" s="18" t="str">
        <f>"Totale dipendenti al 31/12/"&amp;L1-1&amp;" (*)"</f>
        <v>Totale dipendenti al 31/12/2020 (*)</v>
      </c>
      <c r="D4" s="17"/>
      <c r="E4" s="16" t="s">
        <v>59</v>
      </c>
      <c r="F4" s="17"/>
      <c r="G4" s="18" t="s">
        <v>113</v>
      </c>
      <c r="H4" s="17"/>
      <c r="I4" s="18" t="s">
        <v>114</v>
      </c>
      <c r="J4" s="17"/>
      <c r="K4" s="18" t="str">
        <f>"Totale dipendenti al 31/12/"&amp;L1&amp;" (**)"</f>
        <v>Totale dipendenti al 31/12/2021 (**)</v>
      </c>
      <c r="L4" s="281"/>
      <c r="AA4" s="807" t="str">
        <f>"Totale dipendenti al 31/12/"&amp;L1-1&amp;" (*)"</f>
        <v>Totale dipendenti al 31/12/2020 (*)</v>
      </c>
      <c r="AB4" s="808"/>
      <c r="AC4" s="809" t="s">
        <v>59</v>
      </c>
      <c r="AD4" s="808"/>
      <c r="AE4" s="807" t="s">
        <v>113</v>
      </c>
      <c r="AF4" s="808"/>
      <c r="AG4" s="807" t="s">
        <v>114</v>
      </c>
      <c r="AH4" s="808"/>
      <c r="AI4" s="807" t="str">
        <f>"Totale dipendenti al 31/12/"&amp;L1&amp;" (**)"</f>
        <v>Totale dipendenti al 31/12/2021 (**)</v>
      </c>
      <c r="AJ4" s="281"/>
    </row>
    <row r="5" spans="1:36" ht="10.5" thickBot="1">
      <c r="A5" s="876"/>
      <c r="B5" s="878"/>
      <c r="C5" s="228" t="s">
        <v>56</v>
      </c>
      <c r="D5" s="229" t="s">
        <v>57</v>
      </c>
      <c r="E5" s="228" t="s">
        <v>56</v>
      </c>
      <c r="F5" s="229" t="s">
        <v>57</v>
      </c>
      <c r="G5" s="228" t="s">
        <v>56</v>
      </c>
      <c r="H5" s="229" t="s">
        <v>57</v>
      </c>
      <c r="I5" s="228" t="s">
        <v>56</v>
      </c>
      <c r="J5" s="229" t="s">
        <v>57</v>
      </c>
      <c r="K5" s="228" t="s">
        <v>56</v>
      </c>
      <c r="L5" s="282" t="s">
        <v>57</v>
      </c>
      <c r="AA5" s="228" t="s">
        <v>56</v>
      </c>
      <c r="AB5" s="229" t="s">
        <v>57</v>
      </c>
      <c r="AC5" s="228" t="s">
        <v>56</v>
      </c>
      <c r="AD5" s="229" t="s">
        <v>57</v>
      </c>
      <c r="AE5" s="228" t="s">
        <v>56</v>
      </c>
      <c r="AF5" s="229" t="s">
        <v>57</v>
      </c>
      <c r="AG5" s="228" t="s">
        <v>56</v>
      </c>
      <c r="AH5" s="229" t="s">
        <v>57</v>
      </c>
      <c r="AI5" s="228" t="s">
        <v>56</v>
      </c>
      <c r="AJ5" s="282" t="s">
        <v>57</v>
      </c>
    </row>
    <row r="6" spans="1:37" ht="12.75" customHeight="1" thickTop="1">
      <c r="A6" s="141" t="s">
        <v>397</v>
      </c>
      <c r="B6" s="341" t="s">
        <v>398</v>
      </c>
      <c r="C6" s="743">
        <f>ROUND(AA6,0)</f>
        <v>0</v>
      </c>
      <c r="D6" s="744">
        <f aca="true" t="shared" si="0" ref="D6:D13">ROUND(AB6,0)</f>
        <v>0</v>
      </c>
      <c r="E6" s="745">
        <f aca="true" t="shared" si="1" ref="E6:E13">ROUND(AC6,0)</f>
        <v>0</v>
      </c>
      <c r="F6" s="746">
        <f aca="true" t="shared" si="2" ref="F6:F13">ROUND(AD6,0)</f>
        <v>0</v>
      </c>
      <c r="G6" s="745">
        <f aca="true" t="shared" si="3" ref="G6:G13">ROUND(AE6,0)</f>
        <v>0</v>
      </c>
      <c r="H6" s="746">
        <f aca="true" t="shared" si="4" ref="H6:H13">ROUND(AF6,0)</f>
        <v>0</v>
      </c>
      <c r="I6" s="745">
        <f aca="true" t="shared" si="5" ref="I6:I13">ROUND(AG6,0)</f>
        <v>0</v>
      </c>
      <c r="J6" s="746">
        <f aca="true" t="shared" si="6" ref="J6:J13">ROUND(AH6,0)</f>
        <v>0</v>
      </c>
      <c r="K6" s="407">
        <f>E6+G6+I6</f>
        <v>0</v>
      </c>
      <c r="L6" s="408">
        <f>F6+H6+J6</f>
        <v>0</v>
      </c>
      <c r="M6" s="741">
        <f>K6+L6</f>
        <v>0</v>
      </c>
      <c r="AA6" s="309"/>
      <c r="AB6" s="310"/>
      <c r="AC6" s="308"/>
      <c r="AD6" s="235"/>
      <c r="AE6" s="308"/>
      <c r="AF6" s="235"/>
      <c r="AG6" s="308"/>
      <c r="AH6" s="235"/>
      <c r="AI6" s="407">
        <f>AC6+AE6+AG6</f>
        <v>0</v>
      </c>
      <c r="AJ6" s="408">
        <f>AD6+AF6+AH6</f>
        <v>0</v>
      </c>
      <c r="AK6" s="741">
        <f>AI6+AJ6</f>
        <v>0</v>
      </c>
    </row>
    <row r="7" spans="1:37" ht="12.75" customHeight="1">
      <c r="A7" s="141" t="s">
        <v>399</v>
      </c>
      <c r="B7" s="342" t="s">
        <v>400</v>
      </c>
      <c r="C7" s="743">
        <f aca="true" t="shared" si="7" ref="C7:C13">ROUND(AA7,0)</f>
        <v>0</v>
      </c>
      <c r="D7" s="744">
        <f t="shared" si="0"/>
        <v>0</v>
      </c>
      <c r="E7" s="745">
        <f t="shared" si="1"/>
        <v>0</v>
      </c>
      <c r="F7" s="746">
        <f t="shared" si="2"/>
        <v>0</v>
      </c>
      <c r="G7" s="745">
        <f t="shared" si="3"/>
        <v>0</v>
      </c>
      <c r="H7" s="746">
        <f t="shared" si="4"/>
        <v>0</v>
      </c>
      <c r="I7" s="745">
        <f t="shared" si="5"/>
        <v>0</v>
      </c>
      <c r="J7" s="746">
        <f t="shared" si="6"/>
        <v>0</v>
      </c>
      <c r="K7" s="407">
        <f aca="true" t="shared" si="8" ref="K7:K13">E7+G7+I7</f>
        <v>0</v>
      </c>
      <c r="L7" s="408">
        <f aca="true" t="shared" si="9" ref="L7:L13">F7+H7+J7</f>
        <v>0</v>
      </c>
      <c r="M7" s="741">
        <f aca="true" t="shared" si="10" ref="M7:M13">K7+L7</f>
        <v>0</v>
      </c>
      <c r="AA7" s="309"/>
      <c r="AB7" s="310"/>
      <c r="AC7" s="308"/>
      <c r="AD7" s="235"/>
      <c r="AE7" s="308"/>
      <c r="AF7" s="235"/>
      <c r="AG7" s="308"/>
      <c r="AH7" s="235"/>
      <c r="AI7" s="407">
        <f aca="true" t="shared" si="11" ref="AI7:AI13">AC7+AE7+AG7</f>
        <v>0</v>
      </c>
      <c r="AJ7" s="408">
        <f aca="true" t="shared" si="12" ref="AJ7:AJ13">AD7+AF7+AH7</f>
        <v>0</v>
      </c>
      <c r="AK7" s="741">
        <f aca="true" t="shared" si="13" ref="AK7:AK13">AI7+AJ7</f>
        <v>0</v>
      </c>
    </row>
    <row r="8" spans="1:37" ht="12.75" customHeight="1">
      <c r="A8" s="141" t="s">
        <v>401</v>
      </c>
      <c r="B8" s="342" t="s">
        <v>402</v>
      </c>
      <c r="C8" s="743">
        <f t="shared" si="7"/>
        <v>0</v>
      </c>
      <c r="D8" s="744">
        <f t="shared" si="0"/>
        <v>0</v>
      </c>
      <c r="E8" s="745">
        <f t="shared" si="1"/>
        <v>0</v>
      </c>
      <c r="F8" s="746">
        <f t="shared" si="2"/>
        <v>0</v>
      </c>
      <c r="G8" s="745">
        <f t="shared" si="3"/>
        <v>0</v>
      </c>
      <c r="H8" s="746">
        <f t="shared" si="4"/>
        <v>0</v>
      </c>
      <c r="I8" s="745">
        <f t="shared" si="5"/>
        <v>0</v>
      </c>
      <c r="J8" s="746">
        <f t="shared" si="6"/>
        <v>0</v>
      </c>
      <c r="K8" s="407">
        <f t="shared" si="8"/>
        <v>0</v>
      </c>
      <c r="L8" s="408">
        <f t="shared" si="9"/>
        <v>0</v>
      </c>
      <c r="M8" s="741">
        <f t="shared" si="10"/>
        <v>0</v>
      </c>
      <c r="AA8" s="309"/>
      <c r="AB8" s="310"/>
      <c r="AC8" s="308"/>
      <c r="AD8" s="235"/>
      <c r="AE8" s="308"/>
      <c r="AF8" s="235"/>
      <c r="AG8" s="308"/>
      <c r="AH8" s="235"/>
      <c r="AI8" s="407">
        <f t="shared" si="11"/>
        <v>0</v>
      </c>
      <c r="AJ8" s="408">
        <f t="shared" si="12"/>
        <v>0</v>
      </c>
      <c r="AK8" s="741">
        <f t="shared" si="13"/>
        <v>0</v>
      </c>
    </row>
    <row r="9" spans="1:37" ht="12.75" customHeight="1">
      <c r="A9" s="141" t="s">
        <v>403</v>
      </c>
      <c r="B9" s="342" t="s">
        <v>404</v>
      </c>
      <c r="C9" s="743">
        <f t="shared" si="7"/>
        <v>0</v>
      </c>
      <c r="D9" s="744">
        <f t="shared" si="0"/>
        <v>0</v>
      </c>
      <c r="E9" s="745">
        <f t="shared" si="1"/>
        <v>0</v>
      </c>
      <c r="F9" s="746">
        <f t="shared" si="2"/>
        <v>0</v>
      </c>
      <c r="G9" s="745">
        <f t="shared" si="3"/>
        <v>0</v>
      </c>
      <c r="H9" s="746">
        <f t="shared" si="4"/>
        <v>0</v>
      </c>
      <c r="I9" s="745">
        <f t="shared" si="5"/>
        <v>0</v>
      </c>
      <c r="J9" s="746">
        <f t="shared" si="6"/>
        <v>0</v>
      </c>
      <c r="K9" s="407">
        <f t="shared" si="8"/>
        <v>0</v>
      </c>
      <c r="L9" s="408">
        <f t="shared" si="9"/>
        <v>0</v>
      </c>
      <c r="M9" s="741">
        <f t="shared" si="10"/>
        <v>0</v>
      </c>
      <c r="AA9" s="309"/>
      <c r="AB9" s="310"/>
      <c r="AC9" s="308"/>
      <c r="AD9" s="235"/>
      <c r="AE9" s="308"/>
      <c r="AF9" s="235"/>
      <c r="AG9" s="308"/>
      <c r="AH9" s="235"/>
      <c r="AI9" s="407">
        <f t="shared" si="11"/>
        <v>0</v>
      </c>
      <c r="AJ9" s="408">
        <f t="shared" si="12"/>
        <v>0</v>
      </c>
      <c r="AK9" s="741">
        <f t="shared" si="13"/>
        <v>0</v>
      </c>
    </row>
    <row r="10" spans="1:37" ht="12.75" customHeight="1">
      <c r="A10" s="141" t="s">
        <v>405</v>
      </c>
      <c r="B10" s="342" t="s">
        <v>406</v>
      </c>
      <c r="C10" s="743">
        <f t="shared" si="7"/>
        <v>0</v>
      </c>
      <c r="D10" s="744">
        <f t="shared" si="0"/>
        <v>0</v>
      </c>
      <c r="E10" s="745">
        <f t="shared" si="1"/>
        <v>0</v>
      </c>
      <c r="F10" s="746">
        <f t="shared" si="2"/>
        <v>0</v>
      </c>
      <c r="G10" s="745">
        <f t="shared" si="3"/>
        <v>0</v>
      </c>
      <c r="H10" s="746">
        <f t="shared" si="4"/>
        <v>0</v>
      </c>
      <c r="I10" s="745">
        <f t="shared" si="5"/>
        <v>0</v>
      </c>
      <c r="J10" s="746">
        <f t="shared" si="6"/>
        <v>0</v>
      </c>
      <c r="K10" s="407">
        <f t="shared" si="8"/>
        <v>0</v>
      </c>
      <c r="L10" s="408">
        <f t="shared" si="9"/>
        <v>0</v>
      </c>
      <c r="M10" s="741">
        <f t="shared" si="10"/>
        <v>0</v>
      </c>
      <c r="AA10" s="309"/>
      <c r="AB10" s="310"/>
      <c r="AC10" s="308"/>
      <c r="AD10" s="235"/>
      <c r="AE10" s="308"/>
      <c r="AF10" s="235"/>
      <c r="AG10" s="308"/>
      <c r="AH10" s="235"/>
      <c r="AI10" s="407">
        <f t="shared" si="11"/>
        <v>0</v>
      </c>
      <c r="AJ10" s="408">
        <f t="shared" si="12"/>
        <v>0</v>
      </c>
      <c r="AK10" s="741">
        <f t="shared" si="13"/>
        <v>0</v>
      </c>
    </row>
    <row r="11" spans="1:37" ht="12.75" customHeight="1">
      <c r="A11" s="141" t="s">
        <v>407</v>
      </c>
      <c r="B11" s="342" t="s">
        <v>408</v>
      </c>
      <c r="C11" s="743">
        <f t="shared" si="7"/>
        <v>0</v>
      </c>
      <c r="D11" s="744">
        <f t="shared" si="0"/>
        <v>0</v>
      </c>
      <c r="E11" s="745">
        <f t="shared" si="1"/>
        <v>0</v>
      </c>
      <c r="F11" s="746">
        <f t="shared" si="2"/>
        <v>0</v>
      </c>
      <c r="G11" s="745">
        <f t="shared" si="3"/>
        <v>0</v>
      </c>
      <c r="H11" s="746">
        <f t="shared" si="4"/>
        <v>0</v>
      </c>
      <c r="I11" s="745">
        <f t="shared" si="5"/>
        <v>0</v>
      </c>
      <c r="J11" s="746">
        <f t="shared" si="6"/>
        <v>0</v>
      </c>
      <c r="K11" s="407">
        <f t="shared" si="8"/>
        <v>0</v>
      </c>
      <c r="L11" s="408">
        <f t="shared" si="9"/>
        <v>0</v>
      </c>
      <c r="M11" s="741">
        <f t="shared" si="10"/>
        <v>0</v>
      </c>
      <c r="AA11" s="309"/>
      <c r="AB11" s="310"/>
      <c r="AC11" s="308"/>
      <c r="AD11" s="235"/>
      <c r="AE11" s="308"/>
      <c r="AF11" s="235"/>
      <c r="AG11" s="308"/>
      <c r="AH11" s="235"/>
      <c r="AI11" s="407">
        <f t="shared" si="11"/>
        <v>0</v>
      </c>
      <c r="AJ11" s="408">
        <f t="shared" si="12"/>
        <v>0</v>
      </c>
      <c r="AK11" s="741">
        <f t="shared" si="13"/>
        <v>0</v>
      </c>
    </row>
    <row r="12" spans="1:37" ht="12.75" customHeight="1">
      <c r="A12" s="141" t="s">
        <v>409</v>
      </c>
      <c r="B12" s="342" t="s">
        <v>410</v>
      </c>
      <c r="C12" s="743">
        <f t="shared" si="7"/>
        <v>0</v>
      </c>
      <c r="D12" s="744">
        <f t="shared" si="0"/>
        <v>0</v>
      </c>
      <c r="E12" s="745">
        <f t="shared" si="1"/>
        <v>0</v>
      </c>
      <c r="F12" s="746">
        <f t="shared" si="2"/>
        <v>0</v>
      </c>
      <c r="G12" s="745">
        <f t="shared" si="3"/>
        <v>0</v>
      </c>
      <c r="H12" s="746">
        <f t="shared" si="4"/>
        <v>0</v>
      </c>
      <c r="I12" s="745">
        <f t="shared" si="5"/>
        <v>0</v>
      </c>
      <c r="J12" s="746">
        <f t="shared" si="6"/>
        <v>0</v>
      </c>
      <c r="K12" s="407">
        <f t="shared" si="8"/>
        <v>0</v>
      </c>
      <c r="L12" s="408">
        <f t="shared" si="9"/>
        <v>0</v>
      </c>
      <c r="M12" s="741">
        <f t="shared" si="10"/>
        <v>0</v>
      </c>
      <c r="AA12" s="309"/>
      <c r="AB12" s="310"/>
      <c r="AC12" s="308"/>
      <c r="AD12" s="235"/>
      <c r="AE12" s="308"/>
      <c r="AF12" s="235"/>
      <c r="AG12" s="308"/>
      <c r="AH12" s="235"/>
      <c r="AI12" s="407">
        <f t="shared" si="11"/>
        <v>0</v>
      </c>
      <c r="AJ12" s="408">
        <f t="shared" si="12"/>
        <v>0</v>
      </c>
      <c r="AK12" s="741">
        <f t="shared" si="13"/>
        <v>0</v>
      </c>
    </row>
    <row r="13" spans="1:37" ht="12.75" customHeight="1" thickBot="1">
      <c r="A13" s="141" t="s">
        <v>411</v>
      </c>
      <c r="B13" s="342" t="s">
        <v>412</v>
      </c>
      <c r="C13" s="743">
        <f t="shared" si="7"/>
        <v>0</v>
      </c>
      <c r="D13" s="744">
        <f t="shared" si="0"/>
        <v>0</v>
      </c>
      <c r="E13" s="745">
        <f t="shared" si="1"/>
        <v>0</v>
      </c>
      <c r="F13" s="746">
        <f t="shared" si="2"/>
        <v>0</v>
      </c>
      <c r="G13" s="745">
        <f t="shared" si="3"/>
        <v>0</v>
      </c>
      <c r="H13" s="746">
        <f t="shared" si="4"/>
        <v>0</v>
      </c>
      <c r="I13" s="745">
        <f t="shared" si="5"/>
        <v>0</v>
      </c>
      <c r="J13" s="746">
        <f t="shared" si="6"/>
        <v>0</v>
      </c>
      <c r="K13" s="407">
        <f t="shared" si="8"/>
        <v>0</v>
      </c>
      <c r="L13" s="408">
        <f t="shared" si="9"/>
        <v>0</v>
      </c>
      <c r="M13" s="741">
        <f t="shared" si="10"/>
        <v>0</v>
      </c>
      <c r="AA13" s="309"/>
      <c r="AB13" s="310"/>
      <c r="AC13" s="308"/>
      <c r="AD13" s="235"/>
      <c r="AE13" s="308"/>
      <c r="AF13" s="235"/>
      <c r="AG13" s="308"/>
      <c r="AH13" s="235"/>
      <c r="AI13" s="407">
        <f t="shared" si="11"/>
        <v>0</v>
      </c>
      <c r="AJ13" s="408">
        <f t="shared" si="12"/>
        <v>0</v>
      </c>
      <c r="AK13" s="741">
        <f t="shared" si="13"/>
        <v>0</v>
      </c>
    </row>
    <row r="14" spans="1:36" ht="15.75" customHeight="1" thickBot="1" thickTop="1">
      <c r="A14" s="280" t="s">
        <v>58</v>
      </c>
      <c r="B14" s="13"/>
      <c r="C14" s="409">
        <f aca="true" t="shared" si="14" ref="C14:L14">SUM(C6:C13)</f>
        <v>0</v>
      </c>
      <c r="D14" s="410">
        <f t="shared" si="14"/>
        <v>0</v>
      </c>
      <c r="E14" s="409">
        <f t="shared" si="14"/>
        <v>0</v>
      </c>
      <c r="F14" s="410">
        <f t="shared" si="14"/>
        <v>0</v>
      </c>
      <c r="G14" s="409">
        <f t="shared" si="14"/>
        <v>0</v>
      </c>
      <c r="H14" s="410">
        <f t="shared" si="14"/>
        <v>0</v>
      </c>
      <c r="I14" s="409">
        <f t="shared" si="14"/>
        <v>0</v>
      </c>
      <c r="J14" s="410">
        <f t="shared" si="14"/>
        <v>0</v>
      </c>
      <c r="K14" s="409">
        <f t="shared" si="14"/>
        <v>0</v>
      </c>
      <c r="L14" s="411">
        <f t="shared" si="14"/>
        <v>0</v>
      </c>
      <c r="AA14" s="409">
        <f aca="true" t="shared" si="15" ref="AA14:AJ14">SUM(AA6:AA13)</f>
        <v>0</v>
      </c>
      <c r="AB14" s="410">
        <f t="shared" si="15"/>
        <v>0</v>
      </c>
      <c r="AC14" s="409">
        <f t="shared" si="15"/>
        <v>0</v>
      </c>
      <c r="AD14" s="410">
        <f t="shared" si="15"/>
        <v>0</v>
      </c>
      <c r="AE14" s="409">
        <f t="shared" si="15"/>
        <v>0</v>
      </c>
      <c r="AF14" s="410">
        <f t="shared" si="15"/>
        <v>0</v>
      </c>
      <c r="AG14" s="409">
        <f t="shared" si="15"/>
        <v>0</v>
      </c>
      <c r="AH14" s="410">
        <f t="shared" si="15"/>
        <v>0</v>
      </c>
      <c r="AI14" s="409">
        <f t="shared" si="15"/>
        <v>0</v>
      </c>
      <c r="AJ14" s="411">
        <f t="shared" si="15"/>
        <v>0</v>
      </c>
    </row>
    <row r="15" ht="9.75">
      <c r="A15" s="706" t="str">
        <f>"(*) inserire i dati comunicati nella tab.1 (colonna presenti al 31/12/"&amp;L1-1&amp;") della rilevazione dell'anno precedente"</f>
        <v>(*) inserire i dati comunicati nella tab.1 (colonna presenti al 31/12/2020) della rilevazione dell'anno precedente</v>
      </c>
    </row>
    <row r="16" ht="9.75">
      <c r="A16" s="5" t="s">
        <v>131</v>
      </c>
    </row>
    <row r="17" spans="4:28" ht="12.75">
      <c r="D17" s="707"/>
      <c r="AB17" s="707"/>
    </row>
  </sheetData>
  <sheetProtection password="EA98" sheet="1" formatColumns="0" selectLockedCells="1"/>
  <mergeCells count="5">
    <mergeCell ref="AA3:AJ3"/>
    <mergeCell ref="C3:L3"/>
    <mergeCell ref="A4:A5"/>
    <mergeCell ref="B4:B5"/>
    <mergeCell ref="G2:L2"/>
  </mergeCells>
  <conditionalFormatting sqref="A6:L13 AA6:AJ13">
    <cfRule type="expression" priority="1" dxfId="4"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5"/>
  <dimension ref="A1:M14"/>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60.660156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882" t="str">
        <f>'t1'!A1</f>
        <v>AVVOCATURA DI STATO - anno 2021</v>
      </c>
      <c r="B1" s="882"/>
      <c r="C1" s="882"/>
      <c r="D1" s="882"/>
      <c r="E1" s="882"/>
      <c r="F1" s="882"/>
      <c r="G1" s="882"/>
      <c r="H1" s="298"/>
      <c r="I1" s="295"/>
      <c r="K1" s="3"/>
      <c r="M1"/>
    </row>
    <row r="2" spans="2:13" ht="12.75" customHeight="1">
      <c r="B2" s="5"/>
      <c r="C2" s="5"/>
      <c r="D2" s="965"/>
      <c r="E2" s="965"/>
      <c r="F2" s="965"/>
      <c r="G2" s="965"/>
      <c r="H2" s="965"/>
      <c r="I2" s="965"/>
      <c r="J2" s="299"/>
      <c r="K2" s="3"/>
      <c r="M2"/>
    </row>
    <row r="3" spans="1:9" ht="21" customHeight="1">
      <c r="A3" s="181" t="s">
        <v>233</v>
      </c>
      <c r="C3" s="5"/>
      <c r="D3" s="5"/>
      <c r="E3" s="5"/>
      <c r="F3" s="5"/>
      <c r="G3" s="5"/>
      <c r="H3" s="5"/>
      <c r="I3" s="5"/>
    </row>
    <row r="4" spans="1:9" ht="49.5" customHeight="1">
      <c r="A4" s="169" t="s">
        <v>172</v>
      </c>
      <c r="B4" s="169" t="s">
        <v>171</v>
      </c>
      <c r="C4" s="169" t="str">
        <f>"Presenti 31.12 anno precedente (Tab 1)"</f>
        <v>Presenti 31.12 anno precedente (Tab 1)</v>
      </c>
      <c r="D4" s="169" t="s">
        <v>193</v>
      </c>
      <c r="E4" s="169" t="s">
        <v>194</v>
      </c>
      <c r="F4" s="169" t="s">
        <v>195</v>
      </c>
      <c r="G4" s="169" t="s">
        <v>206</v>
      </c>
      <c r="H4" s="169" t="s">
        <v>196</v>
      </c>
      <c r="I4" s="169" t="s">
        <v>166</v>
      </c>
    </row>
    <row r="5" spans="1:9" ht="9.75">
      <c r="A5" s="169"/>
      <c r="B5" s="169"/>
      <c r="C5" s="179" t="s">
        <v>173</v>
      </c>
      <c r="D5" s="179" t="s">
        <v>174</v>
      </c>
      <c r="E5" s="179" t="s">
        <v>175</v>
      </c>
      <c r="F5" s="179" t="s">
        <v>176</v>
      </c>
      <c r="G5" s="179" t="s">
        <v>205</v>
      </c>
      <c r="H5" s="179" t="s">
        <v>197</v>
      </c>
      <c r="I5" s="179" t="s">
        <v>198</v>
      </c>
    </row>
    <row r="6" spans="1:9" ht="12.75" customHeight="1">
      <c r="A6" s="124" t="str">
        <f>'t1'!A6</f>
        <v>AVVOCATO GENERALE</v>
      </c>
      <c r="B6" s="171" t="str">
        <f>'t1'!B6</f>
        <v>0D0381</v>
      </c>
      <c r="C6" s="322">
        <f>'t1'!C6+'t1'!D6</f>
        <v>0</v>
      </c>
      <c r="D6" s="322">
        <f>'t5'!U7+'t5'!V7</f>
        <v>0</v>
      </c>
      <c r="E6" s="323">
        <f>'t6'!U7+'t6'!V7</f>
        <v>0</v>
      </c>
      <c r="F6" s="323">
        <f>'t4'!C14</f>
        <v>0</v>
      </c>
      <c r="G6" s="323">
        <f>C6-D6+E6+F6</f>
        <v>0</v>
      </c>
      <c r="H6" s="323">
        <f>'t4'!K6</f>
        <v>0</v>
      </c>
      <c r="I6" s="162" t="str">
        <f>IF(H6&lt;=G6,"OK","ERRORE")</f>
        <v>OK</v>
      </c>
    </row>
    <row r="7" spans="1:9" ht="12.75" customHeight="1">
      <c r="A7" s="124" t="str">
        <f>'t1'!A7</f>
        <v>AVVOCATO GENERALE AGGIUNTO</v>
      </c>
      <c r="B7" s="171" t="str">
        <f>'t1'!B7</f>
        <v>0D0845</v>
      </c>
      <c r="C7" s="322">
        <f>'t1'!C7+'t1'!D7</f>
        <v>0</v>
      </c>
      <c r="D7" s="322">
        <f>'t5'!U8+'t5'!V8</f>
        <v>0</v>
      </c>
      <c r="E7" s="323">
        <f>'t6'!U8+'t6'!V8</f>
        <v>0</v>
      </c>
      <c r="F7" s="323">
        <f>'t4'!D14</f>
        <v>0</v>
      </c>
      <c r="G7" s="323">
        <f>C7-D7+E7+F7</f>
        <v>0</v>
      </c>
      <c r="H7" s="323">
        <f>'t4'!K7</f>
        <v>0</v>
      </c>
      <c r="I7" s="162" t="str">
        <f aca="true" t="shared" si="0" ref="I7:I13">IF(H7&lt;=G7,"OK","ERRORE")</f>
        <v>OK</v>
      </c>
    </row>
    <row r="8" spans="1:9" ht="12.75" customHeight="1">
      <c r="A8" s="124" t="str">
        <f>'t1'!A8</f>
        <v>AVVOCATO IV CLASSE</v>
      </c>
      <c r="B8" s="171" t="str">
        <f>'t1'!B8</f>
        <v>0D0380</v>
      </c>
      <c r="C8" s="322">
        <f>'t1'!C8+'t1'!D8</f>
        <v>0</v>
      </c>
      <c r="D8" s="322">
        <f>'t5'!U9+'t5'!V9</f>
        <v>0</v>
      </c>
      <c r="E8" s="323">
        <f>'t6'!U9+'t6'!V9</f>
        <v>0</v>
      </c>
      <c r="F8" s="323">
        <f>'t4'!E14</f>
        <v>0</v>
      </c>
      <c r="G8" s="323">
        <f aca="true" t="shared" si="1" ref="G8:G13">C8-D8+E8+F8</f>
        <v>0</v>
      </c>
      <c r="H8" s="323">
        <f>'t4'!K8</f>
        <v>0</v>
      </c>
      <c r="I8" s="162" t="str">
        <f t="shared" si="0"/>
        <v>OK</v>
      </c>
    </row>
    <row r="9" spans="1:9" ht="12.75" customHeight="1">
      <c r="A9" s="124" t="str">
        <f>'t1'!A9</f>
        <v>AVVOCATO III CLASSE</v>
      </c>
      <c r="B9" s="171" t="str">
        <f>'t1'!B9</f>
        <v>0D0379</v>
      </c>
      <c r="C9" s="322">
        <f>'t1'!C9+'t1'!D9</f>
        <v>0</v>
      </c>
      <c r="D9" s="322">
        <f>'t5'!U10+'t5'!V10</f>
        <v>0</v>
      </c>
      <c r="E9" s="323">
        <f>'t6'!U10+'t6'!V10</f>
        <v>0</v>
      </c>
      <c r="F9" s="323">
        <f>'t4'!F14</f>
        <v>0</v>
      </c>
      <c r="G9" s="323">
        <f t="shared" si="1"/>
        <v>0</v>
      </c>
      <c r="H9" s="323">
        <f>'t4'!K9</f>
        <v>0</v>
      </c>
      <c r="I9" s="162" t="str">
        <f t="shared" si="0"/>
        <v>OK</v>
      </c>
    </row>
    <row r="10" spans="1:9" ht="12.75" customHeight="1">
      <c r="A10" s="124" t="str">
        <f>'t1'!A10</f>
        <v>AVVOCATO II CLASSE ED EQUIP.</v>
      </c>
      <c r="B10" s="171" t="str">
        <f>'t1'!B10</f>
        <v>0D0A2E</v>
      </c>
      <c r="C10" s="322">
        <f>'t1'!C10+'t1'!D10</f>
        <v>0</v>
      </c>
      <c r="D10" s="322">
        <f>'t5'!U11+'t5'!V11</f>
        <v>0</v>
      </c>
      <c r="E10" s="323">
        <f>'t6'!U11+'t6'!V11</f>
        <v>0</v>
      </c>
      <c r="F10" s="323">
        <f>'t4'!G14</f>
        <v>0</v>
      </c>
      <c r="G10" s="323">
        <f t="shared" si="1"/>
        <v>0</v>
      </c>
      <c r="H10" s="323">
        <f>'t4'!K10</f>
        <v>0</v>
      </c>
      <c r="I10" s="162" t="str">
        <f t="shared" si="0"/>
        <v>OK</v>
      </c>
    </row>
    <row r="11" spans="1:9" ht="12.75" customHeight="1">
      <c r="A11" s="124" t="str">
        <f>'t1'!A11</f>
        <v>AVVOCATO I CLASSE ED EQUIP.</v>
      </c>
      <c r="B11" s="171" t="str">
        <f>'t1'!B11</f>
        <v>0D0A1E</v>
      </c>
      <c r="C11" s="322">
        <f>'t1'!C11+'t1'!D11</f>
        <v>0</v>
      </c>
      <c r="D11" s="322">
        <f>'t5'!U12+'t5'!V12</f>
        <v>0</v>
      </c>
      <c r="E11" s="323">
        <f>'t6'!U12+'t6'!V12</f>
        <v>0</v>
      </c>
      <c r="F11" s="323">
        <f>'t4'!H14</f>
        <v>0</v>
      </c>
      <c r="G11" s="323">
        <f t="shared" si="1"/>
        <v>0</v>
      </c>
      <c r="H11" s="323">
        <f>'t4'!K11</f>
        <v>0</v>
      </c>
      <c r="I11" s="162" t="str">
        <f t="shared" si="0"/>
        <v>OK</v>
      </c>
    </row>
    <row r="12" spans="1:9" ht="12.75" customHeight="1">
      <c r="A12" s="124" t="str">
        <f>'t1'!A12</f>
        <v>PROCURATORE II CLASSE</v>
      </c>
      <c r="B12" s="171" t="str">
        <f>'t1'!B12</f>
        <v>0D0383</v>
      </c>
      <c r="C12" s="322">
        <f>'t1'!C12+'t1'!D12</f>
        <v>0</v>
      </c>
      <c r="D12" s="322">
        <f>'t5'!U13+'t5'!V13</f>
        <v>0</v>
      </c>
      <c r="E12" s="323">
        <f>'t6'!U13+'t6'!V13</f>
        <v>0</v>
      </c>
      <c r="F12" s="323">
        <f>'t4'!I14</f>
        <v>0</v>
      </c>
      <c r="G12" s="323">
        <f t="shared" si="1"/>
        <v>0</v>
      </c>
      <c r="H12" s="323">
        <f>'t4'!K12</f>
        <v>0</v>
      </c>
      <c r="I12" s="162" t="str">
        <f t="shared" si="0"/>
        <v>OK</v>
      </c>
    </row>
    <row r="13" spans="1:9" ht="12.75" customHeight="1">
      <c r="A13" s="124" t="str">
        <f>'t1'!A13</f>
        <v>PROCURATORE I CLASSE</v>
      </c>
      <c r="B13" s="171" t="str">
        <f>'t1'!B13</f>
        <v>0D0382</v>
      </c>
      <c r="C13" s="322">
        <f>'t1'!C13+'t1'!D13</f>
        <v>0</v>
      </c>
      <c r="D13" s="322">
        <f>'t5'!U14+'t5'!V14</f>
        <v>0</v>
      </c>
      <c r="E13" s="323">
        <f>'t6'!U14+'t6'!V14</f>
        <v>0</v>
      </c>
      <c r="F13" s="323">
        <f>'t4'!J14</f>
        <v>0</v>
      </c>
      <c r="G13" s="323">
        <f t="shared" si="1"/>
        <v>0</v>
      </c>
      <c r="H13" s="323">
        <f>'t4'!K13</f>
        <v>0</v>
      </c>
      <c r="I13" s="162" t="str">
        <f t="shared" si="0"/>
        <v>OK</v>
      </c>
    </row>
    <row r="14" spans="1:9" s="329" customFormat="1" ht="15.75" customHeight="1">
      <c r="A14" s="637" t="str">
        <f>'t1'!A14</f>
        <v>TOTALE</v>
      </c>
      <c r="B14" s="191"/>
      <c r="C14" s="346">
        <f aca="true" t="shared" si="2" ref="C14:H14">SUM(C6:C13)</f>
        <v>0</v>
      </c>
      <c r="D14" s="346">
        <f t="shared" si="2"/>
        <v>0</v>
      </c>
      <c r="E14" s="346">
        <f t="shared" si="2"/>
        <v>0</v>
      </c>
      <c r="F14" s="346">
        <f t="shared" si="2"/>
        <v>0</v>
      </c>
      <c r="G14" s="346">
        <f t="shared" si="2"/>
        <v>0</v>
      </c>
      <c r="H14" s="346">
        <f t="shared" si="2"/>
        <v>0</v>
      </c>
      <c r="I14" s="163" t="str">
        <f>IF(H14&lt;=G14,"OK","ERRORE")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1.xml><?xml version="1.0" encoding="utf-8"?>
<worksheet xmlns="http://schemas.openxmlformats.org/spreadsheetml/2006/main" xmlns:r="http://schemas.openxmlformats.org/officeDocument/2006/relationships">
  <sheetPr codeName="Foglio26"/>
  <dimension ref="A1:M21"/>
  <sheetViews>
    <sheetView showGridLines="0" zoomScalePageLayoutView="0" workbookViewId="0" topLeftCell="A1">
      <selection activeCell="B2" sqref="B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882" t="str">
        <f>'t1'!A1</f>
        <v>AVVOCATURA DI STATO - anno 2021</v>
      </c>
      <c r="B1" s="882"/>
      <c r="C1" s="882"/>
      <c r="D1" s="882"/>
      <c r="E1" s="295"/>
      <c r="F1" s="298"/>
      <c r="G1" s="298"/>
      <c r="H1" s="298"/>
      <c r="I1" s="298"/>
      <c r="K1" s="3"/>
      <c r="M1"/>
    </row>
    <row r="2" spans="1:13" ht="15.75" thickBot="1">
      <c r="A2" s="763" t="s">
        <v>483</v>
      </c>
      <c r="C2" s="965"/>
      <c r="D2" s="965"/>
      <c r="E2" s="965"/>
      <c r="F2" s="299"/>
      <c r="G2" s="299"/>
      <c r="H2" s="299"/>
      <c r="I2" s="299"/>
      <c r="K2" s="3"/>
      <c r="M2"/>
    </row>
    <row r="3" spans="1:5" ht="30" customHeight="1" thickBot="1">
      <c r="A3" s="973" t="s">
        <v>484</v>
      </c>
      <c r="B3" s="974"/>
      <c r="C3" s="974"/>
      <c r="D3" s="974"/>
      <c r="E3" s="975"/>
    </row>
    <row r="4" spans="1:5" s="182" customFormat="1" ht="30">
      <c r="A4" s="588" t="s">
        <v>485</v>
      </c>
      <c r="B4" s="589" t="s">
        <v>414</v>
      </c>
      <c r="C4" s="589" t="s">
        <v>207</v>
      </c>
      <c r="D4" s="590" t="s">
        <v>208</v>
      </c>
      <c r="E4" s="591" t="s">
        <v>374</v>
      </c>
    </row>
    <row r="5" spans="1:5" ht="20.25" customHeight="1">
      <c r="A5" s="186" t="s">
        <v>35</v>
      </c>
      <c r="B5" s="723">
        <f>SI_1!G56</f>
        <v>0</v>
      </c>
      <c r="C5" s="189">
        <f>'t14'!D12</f>
        <v>0</v>
      </c>
      <c r="D5" s="192" t="str">
        <f>IF(B5=0,IF(C5=0,"OK","MANCANO LE UNITA'"),IF(C5=0,"MANCANO LE SPESE","OK"))</f>
        <v>OK</v>
      </c>
      <c r="E5" s="188" t="str">
        <f>IF(AND(B5&gt;0,C5&gt;0),C5/B5," ")</f>
        <v> </v>
      </c>
    </row>
    <row r="6" spans="1:5" ht="20.25" customHeight="1">
      <c r="A6" s="186" t="s">
        <v>10</v>
      </c>
      <c r="B6" s="723">
        <f>SI_1!G59</f>
        <v>0</v>
      </c>
      <c r="C6" s="189">
        <f>'t14'!D13</f>
        <v>0</v>
      </c>
      <c r="D6" s="192" t="str">
        <f>IF(B6=0,IF(C6=0,"OK","MANCANO LE UNITA'"),IF(C6=0,"MANCANO LE SPESE","OK"))</f>
        <v>OK</v>
      </c>
      <c r="E6" s="188" t="str">
        <f>IF(AND(B6&gt;0,C6&gt;0),C6/B6," ")</f>
        <v> </v>
      </c>
    </row>
    <row r="7" spans="1:5" ht="20.25" customHeight="1" thickBot="1">
      <c r="A7" s="187" t="s">
        <v>11</v>
      </c>
      <c r="B7" s="724">
        <f>SI_1!G62</f>
        <v>0</v>
      </c>
      <c r="C7" s="190">
        <f>'t14'!D14</f>
        <v>0</v>
      </c>
      <c r="D7" s="193" t="str">
        <f>IF(B7=0,IF(C7=0,"OK","MANCANO LE UNITA'"),IF(C7=0,"MANCANO LE SPESE","OK"))</f>
        <v>OK</v>
      </c>
      <c r="E7" s="486" t="str">
        <f>IF(AND(B7&gt;0,C7&gt;0),C7/B7," ")</f>
        <v> </v>
      </c>
    </row>
    <row r="8" ht="9.75" customHeight="1"/>
    <row r="10" ht="18" thickBot="1">
      <c r="A10" s="764" t="s">
        <v>486</v>
      </c>
    </row>
    <row r="11" spans="1:5" ht="30" customHeight="1" thickBot="1">
      <c r="A11" s="973" t="s">
        <v>487</v>
      </c>
      <c r="B11" s="974"/>
      <c r="C11" s="974"/>
      <c r="D11" s="974"/>
      <c r="E11" s="975"/>
    </row>
    <row r="12" spans="1:5" s="182" customFormat="1" ht="30.75" hidden="1" thickBot="1">
      <c r="A12" s="588" t="s">
        <v>488</v>
      </c>
      <c r="B12" s="589" t="s">
        <v>489</v>
      </c>
      <c r="C12" s="589" t="s">
        <v>207</v>
      </c>
      <c r="D12" s="590" t="s">
        <v>208</v>
      </c>
      <c r="E12" s="591" t="s">
        <v>374</v>
      </c>
    </row>
    <row r="13" spans="1:5" ht="20.25" customHeight="1" hidden="1">
      <c r="A13" s="765"/>
      <c r="B13" s="766"/>
      <c r="C13" s="767"/>
      <c r="D13" s="768" t="s">
        <v>490</v>
      </c>
      <c r="E13" s="769"/>
    </row>
    <row r="14" spans="1:5" ht="20.25" customHeight="1" hidden="1">
      <c r="A14" s="765"/>
      <c r="B14" s="723"/>
      <c r="C14" s="189"/>
      <c r="D14" s="770" t="s">
        <v>490</v>
      </c>
      <c r="E14" s="771"/>
    </row>
    <row r="15" spans="1:5" ht="20.25" customHeight="1" hidden="1">
      <c r="A15" s="765"/>
      <c r="B15" s="723"/>
      <c r="C15" s="189"/>
      <c r="D15" s="770" t="s">
        <v>490</v>
      </c>
      <c r="E15" s="771"/>
    </row>
    <row r="16" spans="1:5" ht="20.25" customHeight="1" hidden="1">
      <c r="A16" s="765"/>
      <c r="B16" s="723"/>
      <c r="C16" s="189"/>
      <c r="D16" s="770" t="s">
        <v>490</v>
      </c>
      <c r="E16" s="771"/>
    </row>
    <row r="17" spans="1:5" ht="13.5" customHeight="1" hidden="1" thickBot="1">
      <c r="A17" s="772"/>
      <c r="B17" s="773"/>
      <c r="C17" s="773"/>
      <c r="D17" s="773"/>
      <c r="E17" s="774"/>
    </row>
    <row r="18" spans="1:5" s="182" customFormat="1" ht="30">
      <c r="A18" s="488" t="s">
        <v>372</v>
      </c>
      <c r="B18" s="489" t="s">
        <v>373</v>
      </c>
      <c r="C18" s="489" t="s">
        <v>207</v>
      </c>
      <c r="D18" s="490" t="s">
        <v>376</v>
      </c>
      <c r="E18" s="612" t="s">
        <v>375</v>
      </c>
    </row>
    <row r="19" spans="1:5" ht="19.5" customHeight="1">
      <c r="A19" s="587" t="str">
        <f>'t14'!A10</f>
        <v>SOMME CORRISPOSTE AD AGENZIA DI SOMMINISTRAZIONE(INTERINALI)</v>
      </c>
      <c r="B19" s="162" t="str">
        <f>'t14'!B10</f>
        <v>L105</v>
      </c>
      <c r="C19" s="630">
        <f>'t14'!D10</f>
        <v>0</v>
      </c>
      <c r="D19" s="613" t="str">
        <f>(IF(AND(C19=0,C20&gt;0),"INSERIRE SOMME SPETTANTI ALL'AGENZIA (L105)","OK"))</f>
        <v>OK</v>
      </c>
      <c r="E19" s="976" t="str">
        <f>(IF(AND(C19&gt;0,C20&gt;0),C19/C20," "))</f>
        <v> </v>
      </c>
    </row>
    <row r="20" spans="1:5" ht="19.5" customHeight="1">
      <c r="A20" s="592" t="str">
        <f>'t14'!A23</f>
        <v>ONERI PER I CONTRATTI DI SOMMINISTRAZIONE(INTERINALI)</v>
      </c>
      <c r="B20" s="593" t="str">
        <f>'t14'!B23</f>
        <v>P062</v>
      </c>
      <c r="C20" s="631">
        <f>'t14'!D23</f>
        <v>0</v>
      </c>
      <c r="D20" s="614" t="str">
        <f>(IF(AND(C20=0,C19&gt;0),"INSERIRE RETRIBUZIONI PER INTERINALI (P062)","OK"))</f>
        <v>OK</v>
      </c>
      <c r="E20" s="977"/>
    </row>
    <row r="21" spans="1:5" ht="19.5" customHeight="1" thickBot="1">
      <c r="A21" s="979" t="s">
        <v>385</v>
      </c>
      <c r="B21" s="980"/>
      <c r="C21" s="981"/>
      <c r="D21" s="615" t="str">
        <f>(IF(AND(C19&gt;0,C20&gt;0),IF(C19&gt;(C20/100*30),"ATTENZIONE: la voce L105 supera il 30% della voce P062. L'IN1 andrà giustificata","OK"),"OK"))</f>
        <v>OK</v>
      </c>
      <c r="E21" s="978"/>
    </row>
    <row r="22" ht="20.25" customHeight="1"/>
  </sheetData>
  <sheetProtection password="EA98" sheet="1" formatColumns="0" selectLockedCells="1" selectUnlockedCells="1"/>
  <mergeCells count="6">
    <mergeCell ref="A3:E3"/>
    <mergeCell ref="A1:D1"/>
    <mergeCell ref="C2:E2"/>
    <mergeCell ref="E19:E21"/>
    <mergeCell ref="A21:C21"/>
    <mergeCell ref="A11:E11"/>
  </mergeCells>
  <conditionalFormatting sqref="D13:D16">
    <cfRule type="notContainsText" priority="2" dxfId="16" operator="notContains" stopIfTrue="1" text="OK">
      <formula>ISERROR(SEARCH("OK",D13))</formula>
    </cfRule>
  </conditionalFormatting>
  <conditionalFormatting sqref="D19:D21 D5:D7">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2.xml><?xml version="1.0" encoding="utf-8"?>
<worksheet xmlns="http://schemas.openxmlformats.org/spreadsheetml/2006/main" xmlns:r="http://schemas.openxmlformats.org/officeDocument/2006/relationships">
  <sheetPr codeName="Foglio27"/>
  <dimension ref="A1:M13"/>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60.66015625" style="5" customWidth="1"/>
    <col min="2" max="2" width="11.33203125" style="7" customWidth="1"/>
    <col min="3" max="3" width="13.16015625" style="7" customWidth="1"/>
    <col min="4" max="4" width="17.83203125" style="7" customWidth="1"/>
    <col min="5" max="6" width="15.83203125" style="7" customWidth="1"/>
    <col min="7" max="8" width="15.83203125" style="100" customWidth="1"/>
    <col min="9" max="9" width="18.33203125" style="100" customWidth="1"/>
    <col min="10" max="10" width="9.33203125" style="100" customWidth="1"/>
  </cols>
  <sheetData>
    <row r="1" spans="1:13" s="5" customFormat="1" ht="43.5" customHeight="1">
      <c r="A1" s="882" t="str">
        <f>'t1'!A1</f>
        <v>AVVOCATURA DI STATO - anno 2021</v>
      </c>
      <c r="B1" s="882"/>
      <c r="C1" s="882"/>
      <c r="D1" s="882"/>
      <c r="E1" s="882"/>
      <c r="F1" s="882"/>
      <c r="G1" s="882"/>
      <c r="H1" s="882"/>
      <c r="I1" s="295"/>
      <c r="K1" s="3"/>
      <c r="M1"/>
    </row>
    <row r="2" spans="4:13" s="5" customFormat="1" ht="12.75" customHeight="1">
      <c r="D2" s="965"/>
      <c r="E2" s="965"/>
      <c r="F2" s="965"/>
      <c r="G2" s="965"/>
      <c r="H2" s="965"/>
      <c r="I2" s="965"/>
      <c r="J2" s="299"/>
      <c r="K2" s="3"/>
      <c r="M2"/>
    </row>
    <row r="3" spans="1:6" s="5" customFormat="1" ht="21" customHeight="1">
      <c r="A3" s="181" t="s">
        <v>234</v>
      </c>
      <c r="B3" s="7"/>
      <c r="F3" s="7"/>
    </row>
    <row r="4" spans="1:9" ht="51">
      <c r="A4" s="167" t="s">
        <v>209</v>
      </c>
      <c r="B4" s="169" t="s">
        <v>171</v>
      </c>
      <c r="C4" s="168" t="s">
        <v>210</v>
      </c>
      <c r="D4" s="168" t="s">
        <v>214</v>
      </c>
      <c r="E4" s="168" t="s">
        <v>215</v>
      </c>
      <c r="F4" s="168" t="s">
        <v>216</v>
      </c>
      <c r="G4" s="168" t="s">
        <v>170</v>
      </c>
      <c r="H4" s="168" t="s">
        <v>217</v>
      </c>
      <c r="I4" s="168" t="s">
        <v>343</v>
      </c>
    </row>
    <row r="5" spans="1:10" s="185" customFormat="1" ht="9.75">
      <c r="A5" s="166"/>
      <c r="B5" s="179"/>
      <c r="C5" s="183" t="s">
        <v>173</v>
      </c>
      <c r="D5" s="183" t="s">
        <v>174</v>
      </c>
      <c r="E5" s="183" t="s">
        <v>211</v>
      </c>
      <c r="F5" s="183" t="s">
        <v>176</v>
      </c>
      <c r="G5" s="183" t="s">
        <v>212</v>
      </c>
      <c r="H5" s="183" t="s">
        <v>213</v>
      </c>
      <c r="I5" s="183" t="s">
        <v>344</v>
      </c>
      <c r="J5" s="184"/>
    </row>
    <row r="6" spans="1:9" ht="12.75">
      <c r="A6" s="124" t="str">
        <f>'t1'!A6</f>
        <v>AVVOCATO GENERALE</v>
      </c>
      <c r="B6" s="301" t="str">
        <f>'t1'!B6</f>
        <v>0D0381</v>
      </c>
      <c r="C6" s="324">
        <f>'t12'!C6</f>
        <v>0</v>
      </c>
      <c r="D6" s="325">
        <f>'t12'!D6</f>
        <v>0</v>
      </c>
      <c r="E6" s="326" t="str">
        <f>IF(C6=0," ",D6/C6*12)</f>
        <v> </v>
      </c>
      <c r="F6" s="822">
        <v>92777.96</v>
      </c>
      <c r="G6" s="326" t="str">
        <f aca="true" t="shared" si="0" ref="G6:G13">IF(E6=" "," ",E6-F6)</f>
        <v> </v>
      </c>
      <c r="H6" s="327" t="str">
        <f aca="true" t="shared" si="1" ref="H6:H13">IF(E6=" "," ",IF(F6=0," ",G6/F6))</f>
        <v> </v>
      </c>
      <c r="I6" s="306" t="str">
        <f>IF(E6=" "," ",IF(F6=0," ",IF(ABS(H6)&gt;0.02,"ERRORE","OK")))</f>
        <v> </v>
      </c>
    </row>
    <row r="7" spans="1:9" ht="12.75">
      <c r="A7" s="124" t="str">
        <f>'t1'!A7</f>
        <v>AVVOCATO GENERALE AGGIUNTO</v>
      </c>
      <c r="B7" s="301" t="str">
        <f>'t1'!B7</f>
        <v>0D0845</v>
      </c>
      <c r="C7" s="324">
        <f>'t12'!C7</f>
        <v>0</v>
      </c>
      <c r="D7" s="325">
        <f>'t12'!D7</f>
        <v>0</v>
      </c>
      <c r="E7" s="326" t="str">
        <f aca="true" t="shared" si="2" ref="E7:E13">IF(C7=0," ",D7/C7*12)</f>
        <v> </v>
      </c>
      <c r="F7" s="822">
        <v>89436.41</v>
      </c>
      <c r="G7" s="326" t="str">
        <f t="shared" si="0"/>
        <v> </v>
      </c>
      <c r="H7" s="327" t="str">
        <f t="shared" si="1"/>
        <v> </v>
      </c>
      <c r="I7" s="306" t="str">
        <f aca="true" t="shared" si="3" ref="I7:I13">IF(E7=" "," ",IF(F7=0," ",IF(ABS(H7)&gt;0.02,"ERRORE","OK")))</f>
        <v> </v>
      </c>
    </row>
    <row r="8" spans="1:9" ht="12.75">
      <c r="A8" s="124" t="str">
        <f>'t1'!A8</f>
        <v>AVVOCATO IV CLASSE</v>
      </c>
      <c r="B8" s="301" t="str">
        <f>'t1'!B8</f>
        <v>0D0380</v>
      </c>
      <c r="C8" s="324">
        <f>'t12'!C8</f>
        <v>0</v>
      </c>
      <c r="D8" s="325">
        <f>'t12'!D8</f>
        <v>0</v>
      </c>
      <c r="E8" s="326" t="str">
        <f t="shared" si="2"/>
        <v> </v>
      </c>
      <c r="F8" s="822">
        <v>81416.65</v>
      </c>
      <c r="G8" s="326" t="str">
        <f t="shared" si="0"/>
        <v> </v>
      </c>
      <c r="H8" s="327" t="str">
        <f t="shared" si="1"/>
        <v> </v>
      </c>
      <c r="I8" s="306" t="str">
        <f t="shared" si="3"/>
        <v> </v>
      </c>
    </row>
    <row r="9" spans="1:9" ht="12.75">
      <c r="A9" s="124" t="str">
        <f>'t1'!A9</f>
        <v>AVVOCATO III CLASSE</v>
      </c>
      <c r="B9" s="301" t="str">
        <f>'t1'!B9</f>
        <v>0D0379</v>
      </c>
      <c r="C9" s="324">
        <f>'t12'!C9</f>
        <v>0</v>
      </c>
      <c r="D9" s="325">
        <f>'t12'!D9</f>
        <v>0</v>
      </c>
      <c r="E9" s="326" t="str">
        <f t="shared" si="2"/>
        <v> </v>
      </c>
      <c r="F9" s="822">
        <v>69466.05</v>
      </c>
      <c r="G9" s="326" t="str">
        <f t="shared" si="0"/>
        <v> </v>
      </c>
      <c r="H9" s="327" t="str">
        <f t="shared" si="1"/>
        <v> </v>
      </c>
      <c r="I9" s="306" t="str">
        <f t="shared" si="3"/>
        <v> </v>
      </c>
    </row>
    <row r="10" spans="1:9" ht="12.75">
      <c r="A10" s="124" t="str">
        <f>'t1'!A10</f>
        <v>AVVOCATO II CLASSE ED EQUIP.</v>
      </c>
      <c r="B10" s="301" t="str">
        <f>'t1'!B10</f>
        <v>0D0A2E</v>
      </c>
      <c r="C10" s="324">
        <f>'t12'!C10</f>
        <v>0</v>
      </c>
      <c r="D10" s="325">
        <f>'t12'!D10</f>
        <v>0</v>
      </c>
      <c r="E10" s="326" t="str">
        <f t="shared" si="2"/>
        <v> </v>
      </c>
      <c r="F10" s="822">
        <v>61880.87</v>
      </c>
      <c r="G10" s="326" t="str">
        <f t="shared" si="0"/>
        <v> </v>
      </c>
      <c r="H10" s="327" t="str">
        <f t="shared" si="1"/>
        <v> </v>
      </c>
      <c r="I10" s="306" t="str">
        <f t="shared" si="3"/>
        <v> </v>
      </c>
    </row>
    <row r="11" spans="1:9" ht="12.75">
      <c r="A11" s="124" t="str">
        <f>'t1'!A11</f>
        <v>AVVOCATO I CLASSE ED EQUIP.</v>
      </c>
      <c r="B11" s="301" t="str">
        <f>'t1'!B11</f>
        <v>0D0A1E</v>
      </c>
      <c r="C11" s="324">
        <f>'t12'!C11</f>
        <v>0</v>
      </c>
      <c r="D11" s="325">
        <f>'t12'!D11</f>
        <v>0</v>
      </c>
      <c r="E11" s="326" t="str">
        <f t="shared" si="2"/>
        <v> </v>
      </c>
      <c r="F11" s="822">
        <v>54295.7</v>
      </c>
      <c r="G11" s="326" t="str">
        <f t="shared" si="0"/>
        <v> </v>
      </c>
      <c r="H11" s="327" t="str">
        <f t="shared" si="1"/>
        <v> </v>
      </c>
      <c r="I11" s="306" t="str">
        <f t="shared" si="3"/>
        <v> </v>
      </c>
    </row>
    <row r="12" spans="1:9" ht="12.75">
      <c r="A12" s="124" t="str">
        <f>'t1'!A12</f>
        <v>PROCURATORE II CLASSE</v>
      </c>
      <c r="B12" s="301" t="str">
        <f>'t1'!B12</f>
        <v>0D0383</v>
      </c>
      <c r="C12" s="324">
        <f>'t12'!C12</f>
        <v>0</v>
      </c>
      <c r="D12" s="325">
        <f>'t12'!D12</f>
        <v>0</v>
      </c>
      <c r="E12" s="326" t="str">
        <f t="shared" si="2"/>
        <v> </v>
      </c>
      <c r="F12" s="822">
        <v>39122.06</v>
      </c>
      <c r="G12" s="326" t="str">
        <f t="shared" si="0"/>
        <v> </v>
      </c>
      <c r="H12" s="327" t="str">
        <f t="shared" si="1"/>
        <v> </v>
      </c>
      <c r="I12" s="306" t="str">
        <f t="shared" si="3"/>
        <v> </v>
      </c>
    </row>
    <row r="13" spans="1:9" ht="12.75">
      <c r="A13" s="124" t="str">
        <f>'t1'!A13</f>
        <v>PROCURATORE I CLASSE</v>
      </c>
      <c r="B13" s="301" t="str">
        <f>'t1'!B13</f>
        <v>0D0382</v>
      </c>
      <c r="C13" s="324">
        <f>'t12'!C13</f>
        <v>0</v>
      </c>
      <c r="D13" s="325">
        <f>'t12'!D13</f>
        <v>0</v>
      </c>
      <c r="E13" s="326" t="str">
        <f t="shared" si="2"/>
        <v> </v>
      </c>
      <c r="F13" s="822">
        <v>27885.85</v>
      </c>
      <c r="G13" s="326" t="str">
        <f t="shared" si="0"/>
        <v> </v>
      </c>
      <c r="H13" s="327" t="str">
        <f t="shared" si="1"/>
        <v> </v>
      </c>
      <c r="I13" s="306"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3.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C2" sqref="C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882" t="str">
        <f>'t1'!A1</f>
        <v>AVVOCATURA DI STATO - anno 2021</v>
      </c>
      <c r="B1" s="882"/>
      <c r="C1" s="882"/>
      <c r="D1" s="882"/>
      <c r="E1" s="639"/>
      <c r="F1" s="298"/>
      <c r="G1" s="298"/>
      <c r="H1" s="298"/>
      <c r="I1" s="298"/>
      <c r="K1" s="3"/>
      <c r="M1"/>
    </row>
    <row r="2" spans="1:13" ht="15.75" thickBot="1">
      <c r="A2" s="775" t="s">
        <v>491</v>
      </c>
      <c r="B2" s="776"/>
      <c r="C2" s="776"/>
      <c r="D2" s="776"/>
      <c r="E2" s="299"/>
      <c r="F2" s="299"/>
      <c r="G2" s="299"/>
      <c r="H2" s="299"/>
      <c r="I2" s="299"/>
      <c r="K2" s="3"/>
      <c r="M2"/>
    </row>
    <row r="3" spans="1:5" ht="33" customHeight="1" thickBot="1">
      <c r="A3" s="982" t="s">
        <v>492</v>
      </c>
      <c r="B3" s="983"/>
      <c r="C3" s="983"/>
      <c r="D3" s="984"/>
      <c r="E3" s="652"/>
    </row>
    <row r="4" spans="1:4" s="182" customFormat="1" ht="30.75" thickBot="1">
      <c r="A4" s="588" t="s">
        <v>424</v>
      </c>
      <c r="B4" s="589" t="s">
        <v>425</v>
      </c>
      <c r="C4" s="589" t="s">
        <v>426</v>
      </c>
      <c r="D4" s="590" t="s">
        <v>427</v>
      </c>
    </row>
    <row r="5" spans="1:4" ht="39" customHeight="1">
      <c r="A5" s="653" t="str">
        <f>SI_1!B85</f>
        <v>Non compilare</v>
      </c>
      <c r="B5" s="654">
        <f>SI_1!G85</f>
        <v>0</v>
      </c>
      <c r="C5" s="654">
        <f>'t1'!K14+'t1'!L14</f>
        <v>0</v>
      </c>
      <c r="D5" s="779" t="str">
        <f>IF(B5&lt;=C5,"OK","Dati incoerenti: controllare i valori")</f>
        <v>OK</v>
      </c>
    </row>
    <row r="6" spans="1:4" ht="32.25" customHeight="1">
      <c r="A6" s="655" t="str">
        <f>SI_1!B106</f>
        <v>Indicare il numero delle unita rilevate in tabella 1 tra i "presenti al 31.12" che risultavano titolari di permessi per legge n. 104/92.</v>
      </c>
      <c r="B6" s="656">
        <f>SI_1!G106</f>
        <v>0</v>
      </c>
      <c r="C6" s="656">
        <f>'t1'!K14+'t1'!L14</f>
        <v>0</v>
      </c>
      <c r="D6" s="780" t="str">
        <f>IF(B6&lt;=C6,"OK","Dati incoerenti: controllare i valori")</f>
        <v>OK</v>
      </c>
    </row>
    <row r="7" spans="1:4" ht="32.25" customHeight="1" thickBot="1">
      <c r="A7" s="657" t="str">
        <f>SI_1!B109</f>
        <v>Indicare il numero delle unita rilevate in tabella 1 tra i "presenti al 31.12" che risultavano titolari di permessi ai sensi dell'art. 42, c.5 D.lgs.151/2001.</v>
      </c>
      <c r="B7" s="658">
        <f>SI_1!G109</f>
        <v>0</v>
      </c>
      <c r="C7" s="658">
        <f>'t1'!K14+'t1'!L14</f>
        <v>0</v>
      </c>
      <c r="D7" s="781" t="str">
        <f>IF(B7&lt;=C7,"OK","Dati incoerenti: controllare i valori")</f>
        <v>OK</v>
      </c>
    </row>
    <row r="10" spans="1:13" ht="15.75" thickBot="1">
      <c r="A10" s="777" t="s">
        <v>493</v>
      </c>
      <c r="B10" s="776"/>
      <c r="C10" s="776"/>
      <c r="D10" s="776"/>
      <c r="E10" s="299"/>
      <c r="F10" s="299"/>
      <c r="G10" s="299"/>
      <c r="H10" s="299"/>
      <c r="I10" s="299"/>
      <c r="K10" s="3"/>
      <c r="M10"/>
    </row>
    <row r="11" spans="1:5" ht="32.25" customHeight="1" thickBot="1">
      <c r="A11" s="982" t="s">
        <v>494</v>
      </c>
      <c r="B11" s="983"/>
      <c r="C11" s="983"/>
      <c r="D11" s="984"/>
      <c r="E11" s="652"/>
    </row>
    <row r="12" spans="1:4" s="182" customFormat="1" ht="21" thickBot="1">
      <c r="A12" s="659" t="s">
        <v>424</v>
      </c>
      <c r="B12" s="660" t="s">
        <v>425</v>
      </c>
      <c r="C12" s="660" t="s">
        <v>428</v>
      </c>
      <c r="D12" s="661" t="s">
        <v>429</v>
      </c>
    </row>
    <row r="13" spans="1:4" ht="29.25" customHeight="1">
      <c r="A13" s="662" t="str">
        <f>SI_1!B106</f>
        <v>Indicare il numero delle unita rilevate in tabella 1 tra i "presenti al 31.12" che risultavano titolari di permessi per legge n. 104/92.</v>
      </c>
      <c r="B13" s="663">
        <f>SI_1!G106</f>
        <v>0</v>
      </c>
      <c r="C13" s="664">
        <f>'t11'!I16+'t11'!J16</f>
        <v>0</v>
      </c>
      <c r="D13" s="782" t="str">
        <f>(IF(AND(C13=0,B13&gt;0),"Mancano le assenze per questa causale",IF(AND(C13&gt;0,B13=0),"Dichiarare Unita nella domanda della Scheda Informativa 1","OK")))</f>
        <v>OK</v>
      </c>
    </row>
    <row r="14" spans="1:4" ht="29.25" customHeight="1" thickBot="1">
      <c r="A14" s="665" t="str">
        <f>SI_1!B109</f>
        <v>Indicare il numero delle unita rilevate in tabella 1 tra i "presenti al 31.12" che risultavano titolari di permessi ai sensi dell'art. 42, c.5 D.lgs.151/2001.</v>
      </c>
      <c r="B14" s="658">
        <f>SI_1!G109</f>
        <v>0</v>
      </c>
      <c r="C14" s="666">
        <f>'t11'!G16+'t11'!H16</f>
        <v>0</v>
      </c>
      <c r="D14" s="783" t="str">
        <f>(IF(AND(C14=0,B14&gt;0),"Mancano le assenze per questa causale",IF(AND(C14&gt;0,B14=0),"Dichiarare Unita nella domanda della Scheda Informativa 1","OK")))</f>
        <v>OK</v>
      </c>
    </row>
    <row r="17" spans="1:13" ht="12.75" customHeight="1" thickBot="1">
      <c r="A17" s="778" t="s">
        <v>495</v>
      </c>
      <c r="B17" s="776"/>
      <c r="C17" s="776"/>
      <c r="D17" s="776"/>
      <c r="E17" s="299"/>
      <c r="F17" s="299"/>
      <c r="G17" s="299"/>
      <c r="H17" s="299"/>
      <c r="I17" s="299"/>
      <c r="K17" s="3"/>
      <c r="M17"/>
    </row>
    <row r="18" spans="1:5" ht="30.75" customHeight="1" thickBot="1">
      <c r="A18" s="982" t="s">
        <v>496</v>
      </c>
      <c r="B18" s="983"/>
      <c r="C18" s="983"/>
      <c r="D18" s="984"/>
      <c r="E18" s="652"/>
    </row>
    <row r="19" spans="1:4" ht="21" thickBot="1">
      <c r="A19" s="659" t="s">
        <v>424</v>
      </c>
      <c r="B19" s="660" t="s">
        <v>480</v>
      </c>
      <c r="C19" s="660" t="s">
        <v>428</v>
      </c>
      <c r="D19" s="661" t="s">
        <v>429</v>
      </c>
    </row>
    <row r="20" spans="1:4" ht="30.75" thickBot="1">
      <c r="A20" s="665" t="s">
        <v>415</v>
      </c>
      <c r="B20" s="663">
        <f>SI_1!G82</f>
        <v>0</v>
      </c>
      <c r="C20" s="664">
        <f>'t11'!E16+'t11'!F16</f>
        <v>0</v>
      </c>
      <c r="D20" s="782"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20 D13:D14 D5:D7">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4.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27" activePane="bottomLeft" state="frozen"/>
      <selection pane="topLeft" activeCell="A2" sqref="A2"/>
      <selection pane="bottomLeft" activeCell="I31" sqref="I31"/>
    </sheetView>
  </sheetViews>
  <sheetFormatPr defaultColWidth="9.33203125" defaultRowHeight="10.5"/>
  <cols>
    <col min="1" max="1" width="71.33203125" style="400" customWidth="1"/>
    <col min="2" max="2" width="8" style="400" customWidth="1"/>
    <col min="3" max="3" width="14.16015625" style="400" customWidth="1"/>
    <col min="4" max="4" width="15.33203125" style="400" customWidth="1"/>
    <col min="5" max="5" width="25" style="400" bestFit="1" customWidth="1"/>
    <col min="6" max="6" width="17.33203125" style="400" customWidth="1"/>
    <col min="7" max="7" width="17.16015625" style="400" customWidth="1"/>
    <col min="8" max="14" width="9.33203125" style="400" customWidth="1"/>
  </cols>
  <sheetData>
    <row r="1" spans="1:13" s="5" customFormat="1" ht="26.25" customHeight="1">
      <c r="A1" s="882" t="str">
        <f>'t1'!A1:J1</f>
        <v>AVVOCATURA DI STATO - anno 2021</v>
      </c>
      <c r="B1" s="882"/>
      <c r="C1" s="882"/>
      <c r="D1" s="882"/>
      <c r="E1" s="882"/>
      <c r="F1" s="298"/>
      <c r="G1" s="295"/>
      <c r="H1" s="298"/>
      <c r="K1" s="3"/>
      <c r="M1" s="399"/>
    </row>
    <row r="2" spans="2:13" s="5" customFormat="1" ht="15" customHeight="1">
      <c r="B2" s="965"/>
      <c r="C2" s="965"/>
      <c r="D2" s="965"/>
      <c r="E2" s="965"/>
      <c r="F2" s="965"/>
      <c r="G2" s="965"/>
      <c r="J2" s="299"/>
      <c r="K2" s="3"/>
      <c r="M2" s="399"/>
    </row>
    <row r="3" spans="1:2" s="5" customFormat="1" ht="21" customHeight="1" thickBot="1">
      <c r="A3" s="302" t="s">
        <v>235</v>
      </c>
      <c r="B3" s="7"/>
    </row>
    <row r="4" spans="1:7" ht="20.25" customHeight="1" thickBot="1">
      <c r="A4" s="311" t="s">
        <v>236</v>
      </c>
      <c r="B4" s="990">
        <f>'t12'!K14+'t13'!L14</f>
        <v>0</v>
      </c>
      <c r="C4" s="991"/>
      <c r="D4" s="991"/>
      <c r="E4" s="991"/>
      <c r="F4" s="991"/>
      <c r="G4" s="992"/>
    </row>
    <row r="5" spans="1:14" ht="85.5" customHeight="1" thickBot="1">
      <c r="A5" s="204" t="s">
        <v>90</v>
      </c>
      <c r="B5" s="205" t="s">
        <v>221</v>
      </c>
      <c r="C5" s="205" t="s">
        <v>222</v>
      </c>
      <c r="D5" s="206" t="s">
        <v>223</v>
      </c>
      <c r="E5" s="993" t="s">
        <v>220</v>
      </c>
      <c r="F5" s="994"/>
      <c r="G5" s="995"/>
      <c r="H5" s="399"/>
      <c r="I5" s="399"/>
      <c r="J5" s="399"/>
      <c r="K5" s="399"/>
      <c r="L5" s="399"/>
      <c r="M5" s="399"/>
      <c r="N5" s="399"/>
    </row>
    <row r="6" spans="1:14" ht="19.5" customHeight="1">
      <c r="A6" s="203" t="str">
        <f>'t14'!A4</f>
        <v>ASSEGNI PER IL NUCLEO FAMILIARE</v>
      </c>
      <c r="B6" s="307" t="str">
        <f>'t14'!B4</f>
        <v>L005</v>
      </c>
      <c r="C6" s="303">
        <f>'t14'!D4</f>
        <v>0</v>
      </c>
      <c r="D6" s="401" t="str">
        <f aca="true" t="shared" si="0" ref="D6:D12">IF($B$4=0," ",(IF(C6=0," ",C6/$B$4)))</f>
        <v> </v>
      </c>
      <c r="E6" s="1002" t="str">
        <f>IF($B$4=0,"TABELLE 12 -13 ASSENTI",(IF('t12'!$K$14=0,"TAB. 12 ASSENTE",(IF('t13'!L14=0,"TAB. 13 ASSENTE"," ")))))</f>
        <v>TABELLE 12 -13 ASSENTI</v>
      </c>
      <c r="F6" s="1003"/>
      <c r="G6" s="1004"/>
      <c r="H6" s="399"/>
      <c r="I6" s="399"/>
      <c r="J6" s="399"/>
      <c r="K6" s="399"/>
      <c r="L6" s="399"/>
      <c r="M6" s="399"/>
      <c r="N6" s="399"/>
    </row>
    <row r="7" spans="1:14" ht="19.5" customHeight="1">
      <c r="A7" s="203" t="str">
        <f>'t14'!A5</f>
        <v>GESTIONE MENSE </v>
      </c>
      <c r="B7" s="307" t="str">
        <f>'t14'!B5</f>
        <v>L010</v>
      </c>
      <c r="C7" s="304">
        <f>'t14'!D5</f>
        <v>0</v>
      </c>
      <c r="D7" s="402" t="str">
        <f t="shared" si="0"/>
        <v> </v>
      </c>
      <c r="E7" s="996"/>
      <c r="F7" s="997"/>
      <c r="G7" s="998"/>
      <c r="H7" s="399"/>
      <c r="I7" s="399"/>
      <c r="J7" s="399"/>
      <c r="K7" s="399"/>
      <c r="L7" s="399"/>
      <c r="M7" s="399"/>
      <c r="N7" s="399"/>
    </row>
    <row r="8" spans="1:14" ht="19.5" customHeight="1">
      <c r="A8" s="203" t="str">
        <f>'t14'!A6</f>
        <v>EROGAZIONE BUONI PASTO</v>
      </c>
      <c r="B8" s="307" t="str">
        <f>'t14'!B6</f>
        <v>L011</v>
      </c>
      <c r="C8" s="304">
        <f>'t14'!D6</f>
        <v>0</v>
      </c>
      <c r="D8" s="402" t="str">
        <f t="shared" si="0"/>
        <v> </v>
      </c>
      <c r="E8" s="996"/>
      <c r="F8" s="997"/>
      <c r="G8" s="998"/>
      <c r="H8" s="399"/>
      <c r="I8" s="399"/>
      <c r="J8" s="399"/>
      <c r="K8" s="399"/>
      <c r="L8" s="399"/>
      <c r="M8" s="399"/>
      <c r="N8" s="399"/>
    </row>
    <row r="9" spans="1:14" ht="19.5" customHeight="1">
      <c r="A9" s="203" t="str">
        <f>'t14'!A7</f>
        <v>FORMAZIONE DEL PERSONALE</v>
      </c>
      <c r="B9" s="307" t="str">
        <f>'t14'!B7</f>
        <v>L020</v>
      </c>
      <c r="C9" s="304">
        <f>'t14'!D7</f>
        <v>0</v>
      </c>
      <c r="D9" s="402" t="str">
        <f t="shared" si="0"/>
        <v> </v>
      </c>
      <c r="E9" s="996"/>
      <c r="F9" s="997"/>
      <c r="G9" s="998"/>
      <c r="H9" s="399"/>
      <c r="I9" s="399"/>
      <c r="J9" s="399"/>
      <c r="K9" s="399"/>
      <c r="L9" s="399"/>
      <c r="M9" s="399"/>
      <c r="N9" s="399"/>
    </row>
    <row r="10" spans="1:14" ht="19.5" customHeight="1">
      <c r="A10" s="203" t="str">
        <f>'t14'!A8</f>
        <v>BENESSERE DEL PERSONALE</v>
      </c>
      <c r="B10" s="307" t="str">
        <f>'t14'!B8</f>
        <v>L090</v>
      </c>
      <c r="C10" s="304">
        <f>'t14'!D8</f>
        <v>0</v>
      </c>
      <c r="D10" s="402" t="str">
        <f t="shared" si="0"/>
        <v> </v>
      </c>
      <c r="E10" s="996"/>
      <c r="F10" s="997"/>
      <c r="G10" s="998"/>
      <c r="H10" s="399"/>
      <c r="I10" s="399"/>
      <c r="J10" s="399"/>
      <c r="K10" s="399"/>
      <c r="L10" s="399"/>
      <c r="M10" s="399"/>
      <c r="N10" s="399"/>
    </row>
    <row r="11" spans="1:14" ht="19.5" customHeight="1" thickBot="1">
      <c r="A11" s="203" t="str">
        <f>'t14'!A9</f>
        <v>EQUO INDENNIZZO AL PERSONALE</v>
      </c>
      <c r="B11" s="307" t="str">
        <f>'t14'!B9</f>
        <v>L100</v>
      </c>
      <c r="C11" s="304">
        <f>'t14'!D9</f>
        <v>0</v>
      </c>
      <c r="D11" s="403" t="str">
        <f t="shared" si="0"/>
        <v> </v>
      </c>
      <c r="E11" s="999"/>
      <c r="F11" s="1000"/>
      <c r="G11" s="1001"/>
      <c r="H11" s="399"/>
      <c r="I11" s="399"/>
      <c r="J11" s="399"/>
      <c r="K11" s="399"/>
      <c r="L11" s="399"/>
      <c r="M11" s="399"/>
      <c r="N11" s="399"/>
    </row>
    <row r="12" spans="1:14" ht="30.75" customHeight="1" thickBot="1">
      <c r="A12" s="203" t="str">
        <f>'t14'!A10</f>
        <v>SOMME CORRISPOSTE AD AGENZIA DI SOMMINISTRAZIONE(INTERINALI)</v>
      </c>
      <c r="B12" s="307" t="str">
        <f>'t14'!B10</f>
        <v>L105</v>
      </c>
      <c r="C12" s="304">
        <f>'t14'!D10</f>
        <v>0</v>
      </c>
      <c r="D12" s="403" t="str">
        <f t="shared" si="0"/>
        <v> </v>
      </c>
      <c r="E12" s="988" t="str">
        <f>(IF(AND(C12=0,C24&gt;0),"P062 VALORIZZATA; INSERIRE SOMME SPETTANTI ALL'AGENZIA (L105)",IF(AND(C12&gt;0,C24&gt;0,C12&gt;(C24/100*30)),"ATTENZIONE: la voce L105 supera il 30% della voce P062. Il salvataggio produrrà l'INCONGRUENZA 1 che dovrà essere giustificata"," ")))</f>
        <v> </v>
      </c>
      <c r="F12" s="1005"/>
      <c r="G12" s="1006"/>
      <c r="H12" s="399"/>
      <c r="I12" s="399"/>
      <c r="J12" s="399"/>
      <c r="K12" s="399"/>
      <c r="L12" s="399"/>
      <c r="M12" s="399"/>
      <c r="N12" s="399"/>
    </row>
    <row r="13" spans="1:14" ht="19.5" customHeight="1" thickBot="1">
      <c r="A13" s="203" t="str">
        <f>'t14'!A11</f>
        <v>COPERTURE ASSICURATIVE</v>
      </c>
      <c r="B13" s="307" t="str">
        <f>'t14'!B11</f>
        <v>L107</v>
      </c>
      <c r="C13" s="304">
        <f>'t14'!D11</f>
        <v>0</v>
      </c>
      <c r="D13" s="401" t="str">
        <f aca="true" t="shared" si="1" ref="D13:D21">IF($B$4=0," ",(IF(C13=0," ",C13/$B$4)))</f>
        <v> </v>
      </c>
      <c r="E13" s="985" t="str">
        <f>IF($B$4=0,"TABELLE 12 -13 ASSENTI",(IF('t12'!$K$14=0,"TAB. 12 ASSENTE",(IF('t13'!$L$14=0,"TAB. 13 ASSENTE"," ")))))</f>
        <v>TABELLE 12 -13 ASSENTI</v>
      </c>
      <c r="F13" s="989" t="s">
        <v>266</v>
      </c>
      <c r="G13" s="1007" t="s">
        <v>266</v>
      </c>
      <c r="H13" s="399"/>
      <c r="I13" s="399"/>
      <c r="J13" s="399"/>
      <c r="K13" s="399"/>
      <c r="L13" s="399"/>
      <c r="M13" s="399"/>
      <c r="N13" s="399"/>
    </row>
    <row r="14" spans="1:14" ht="41.25" customHeight="1" thickBot="1">
      <c r="A14" s="203" t="str">
        <f>'t14'!A12</f>
        <v>CONTRATTI DI COLLABORAZIONE COORDINATA E CONTINUATIVA</v>
      </c>
      <c r="B14" s="307" t="str">
        <f>'t14'!B12</f>
        <v>L108</v>
      </c>
      <c r="C14" s="304">
        <f>'t14'!D12</f>
        <v>0</v>
      </c>
      <c r="D14" s="402" t="str">
        <f t="shared" si="1"/>
        <v> </v>
      </c>
      <c r="E14" s="988" t="str">
        <f>IF(SI_1!G56=0,IF('t14'!D12=0," ","MANCA IL NUMERO DEI CONTRATTI NELLA SI_1"),IF('t14'!D12=0,"VERIFICARE SE INSERIRE LE SPESE"," "))</f>
        <v> </v>
      </c>
      <c r="F14" s="989"/>
      <c r="G14" s="328" t="str">
        <f>IF(AND(C14&gt;0,SI_1!G56&gt;0),"VALORE MEDIO UNITARIO DI SPESA =  "&amp;C14/SI_1!G56," ")</f>
        <v> </v>
      </c>
      <c r="H14" s="399"/>
      <c r="I14" s="399"/>
      <c r="J14" s="399"/>
      <c r="K14" s="399"/>
      <c r="L14" s="399"/>
      <c r="M14" s="399"/>
      <c r="N14" s="399"/>
    </row>
    <row r="15" spans="1:14" ht="41.25" customHeight="1" thickBot="1">
      <c r="A15" s="203" t="str">
        <f>'t14'!A13</f>
        <v>INCARICHI LIBERO PROFESSIONALI/STUDIO/RICERCA/CONSULENZA</v>
      </c>
      <c r="B15" s="307" t="str">
        <f>'t14'!B13</f>
        <v>L109</v>
      </c>
      <c r="C15" s="304">
        <f>'t14'!D13</f>
        <v>0</v>
      </c>
      <c r="D15" s="402" t="str">
        <f t="shared" si="1"/>
        <v> </v>
      </c>
      <c r="E15" s="988" t="str">
        <f>IF(SI_1!G59=0,IF('t14'!D13=0," ","MANCA IL NUMERO DEI CONTRATTI NELLA SI_1"),IF('t14'!D13=0,"VERIFICARE SE INSERIRE LE SPESE"," "))</f>
        <v> </v>
      </c>
      <c r="F15" s="989"/>
      <c r="G15" s="328" t="str">
        <f>IF(AND(C15&gt;0,SI_1!G59&gt;0),"VALORE MEDIO UNITARIO DI SPESA =  "&amp;C15/SI_1!G59," ")</f>
        <v> </v>
      </c>
      <c r="H15" s="399"/>
      <c r="I15" s="399"/>
      <c r="J15" s="399"/>
      <c r="K15" s="399"/>
      <c r="L15" s="399"/>
      <c r="M15" s="399"/>
      <c r="N15" s="399"/>
    </row>
    <row r="16" spans="1:14" ht="41.25" customHeight="1" thickBot="1">
      <c r="A16" s="203" t="str">
        <f>'t14'!A14</f>
        <v>CONTRATTI PER RESA SERVIZI/ADEMPIMENTI OBBLIGATORI PER LEGGE</v>
      </c>
      <c r="B16" s="307" t="str">
        <f>'t14'!B14</f>
        <v>L115</v>
      </c>
      <c r="C16" s="304">
        <f>'t14'!D14</f>
        <v>0</v>
      </c>
      <c r="D16" s="402" t="str">
        <f>IF($B$4=0," ",(IF(C16=0," ",C16/$B$4)))</f>
        <v> </v>
      </c>
      <c r="E16" s="988" t="str">
        <f>IF(SI_1!G62=0,IF('t14'!D14=0," ","MANCA IL NUMERO DEI CONTRATTI NELLA SI_1"),IF('t14'!D14=0,"VERIFICARE SE INSERIRE LE SPESE"," "))</f>
        <v> </v>
      </c>
      <c r="F16" s="989"/>
      <c r="G16" s="328" t="str">
        <f>IF(AND(C16&gt;0,SI_1!G62&gt;0),"VALORE MEDIO UNITARIO DI SPESA =  "&amp;C16/SI_1!G62," ")</f>
        <v> </v>
      </c>
      <c r="H16" s="399"/>
      <c r="I16" s="399"/>
      <c r="J16" s="399"/>
      <c r="K16" s="399"/>
      <c r="L16" s="399"/>
      <c r="M16" s="399"/>
      <c r="N16" s="399"/>
    </row>
    <row r="17" spans="1:14" ht="19.5" customHeight="1">
      <c r="A17" s="203" t="str">
        <f>'t14'!A15</f>
        <v>ALTRE SPESE</v>
      </c>
      <c r="B17" s="307" t="str">
        <f>'t14'!B15</f>
        <v>L110</v>
      </c>
      <c r="C17" s="304">
        <f>'t14'!D15</f>
        <v>0</v>
      </c>
      <c r="D17" s="402" t="str">
        <f t="shared" si="1"/>
        <v> </v>
      </c>
      <c r="E17" s="1002" t="str">
        <f>IF($B$4=0,"TABELLE 12 -13 ASSENTI",(IF('t12'!K14=0,"TAB. 12 ASSENTE",(IF('t13'!L14=0,"TAB. 13 ASSENTE"," ")))))</f>
        <v>TABELLE 12 -13 ASSENTI</v>
      </c>
      <c r="F17" s="1008" t="s">
        <v>266</v>
      </c>
      <c r="G17" s="1009" t="s">
        <v>266</v>
      </c>
      <c r="H17" s="399"/>
      <c r="I17" s="399"/>
      <c r="J17" s="399"/>
      <c r="K17" s="399"/>
      <c r="L17" s="399"/>
      <c r="M17" s="399"/>
      <c r="N17" s="399"/>
    </row>
    <row r="18" spans="1:14" ht="19.5" customHeight="1">
      <c r="A18" s="203" t="str">
        <f>'t14'!A16</f>
        <v>RETRIBUZIONI PERSONALE  A TEMPO DETERMINATO</v>
      </c>
      <c r="B18" s="307" t="str">
        <f>'t14'!B16</f>
        <v>P015</v>
      </c>
      <c r="C18" s="304">
        <f>'t14'!D16</f>
        <v>0</v>
      </c>
      <c r="D18" s="402" t="str">
        <f t="shared" si="1"/>
        <v> </v>
      </c>
      <c r="E18" s="1010" t="s">
        <v>266</v>
      </c>
      <c r="F18" s="1011" t="s">
        <v>266</v>
      </c>
      <c r="G18" s="1012" t="s">
        <v>266</v>
      </c>
      <c r="H18" s="399"/>
      <c r="I18" s="399"/>
      <c r="J18" s="399"/>
      <c r="K18" s="399"/>
      <c r="L18" s="399"/>
      <c r="M18" s="399"/>
      <c r="N18" s="399"/>
    </row>
    <row r="19" spans="1:14" ht="19.5" customHeight="1">
      <c r="A19" s="203" t="str">
        <f>'t14'!A17</f>
        <v>RETRIBUZIONI PERSONALE CON CONTRATTO DI FORMAZIONE E LAVORO</v>
      </c>
      <c r="B19" s="307" t="str">
        <f>'t14'!B17</f>
        <v>P016</v>
      </c>
      <c r="C19" s="304">
        <f>'t14'!D17</f>
        <v>0</v>
      </c>
      <c r="D19" s="402" t="str">
        <f t="shared" si="1"/>
        <v> </v>
      </c>
      <c r="E19" s="1010" t="s">
        <v>266</v>
      </c>
      <c r="F19" s="1011" t="s">
        <v>266</v>
      </c>
      <c r="G19" s="1012" t="s">
        <v>266</v>
      </c>
      <c r="H19" s="399"/>
      <c r="I19" s="399"/>
      <c r="J19" s="399"/>
      <c r="K19" s="399"/>
      <c r="L19" s="399"/>
      <c r="M19" s="399"/>
      <c r="N19" s="399"/>
    </row>
    <row r="20" spans="1:14" ht="19.5" customHeight="1" thickBot="1">
      <c r="A20" s="203" t="str">
        <f>'t14'!A18</f>
        <v>INDENNITA' DI MISSIONE E TRASFERIMENTO</v>
      </c>
      <c r="B20" s="307" t="str">
        <f>'t14'!B18</f>
        <v>P030</v>
      </c>
      <c r="C20" s="304">
        <f>'t14'!D18</f>
        <v>0</v>
      </c>
      <c r="D20" s="402" t="str">
        <f t="shared" si="1"/>
        <v> </v>
      </c>
      <c r="E20" s="1013" t="s">
        <v>266</v>
      </c>
      <c r="F20" s="1014" t="s">
        <v>266</v>
      </c>
      <c r="G20" s="1015" t="s">
        <v>266</v>
      </c>
      <c r="H20" s="399"/>
      <c r="I20" s="399"/>
      <c r="J20" s="399"/>
      <c r="K20" s="399"/>
      <c r="L20" s="399"/>
      <c r="M20" s="399"/>
      <c r="N20" s="399"/>
    </row>
    <row r="21" spans="1:14" ht="30.75" customHeight="1" thickBot="1">
      <c r="A21" s="203" t="str">
        <f>'t14'!A20</f>
        <v>CONTRIBUTI A CARICO DELL'AMM.NE SU COMP. FISSE E ACCESSORIE</v>
      </c>
      <c r="B21" s="307" t="str">
        <f>'t14'!B20</f>
        <v>P055</v>
      </c>
      <c r="C21" s="304">
        <f>'t14'!D20</f>
        <v>0</v>
      </c>
      <c r="D21" s="402" t="str">
        <f t="shared" si="1"/>
        <v> </v>
      </c>
      <c r="E21" s="474" t="str">
        <f>IF(AND(C31=0,B4=0)," ",IF(C31=0,"TABELLA 14 ASSENTE",IF(AND(B4=0,C18=0,C19=0,C25=0),"INSERIRE RETRIBUZIONI",IF(C21=0,"INSERIRE CONTRIBUTI",ROUND((C21/(B4+C18+C19+C25)*100),2)))))</f>
        <v> </v>
      </c>
      <c r="F21" s="1005" t="str">
        <f>IF(AND(B4=0,C31=0)," ",IF(C31=0,"VALORE INCONGRUENTE",IF(C21=0," ",IF(OR(E21&lt;25.398,E21&gt;34.362),"VALORE INCONGRUENTE (Inc. 4)","OK"))))</f>
        <v> </v>
      </c>
      <c r="G21" s="1006"/>
      <c r="H21" s="399"/>
      <c r="I21" s="399"/>
      <c r="J21" s="399"/>
      <c r="K21" s="399"/>
      <c r="L21" s="399"/>
      <c r="M21" s="399"/>
      <c r="N21" s="399"/>
    </row>
    <row r="22" spans="1:14" ht="30.75" customHeight="1" thickBot="1">
      <c r="A22" s="203" t="str">
        <f>'t14'!A21</f>
        <v>QUOTE ANNUE ACCANTONAMENTO TFR O ALTRA IND. FINE SERVIZIO</v>
      </c>
      <c r="B22" s="307" t="str">
        <f>'t14'!B21</f>
        <v>P058</v>
      </c>
      <c r="C22" s="304">
        <f>'t14'!D21</f>
        <v>0</v>
      </c>
      <c r="D22" s="402" t="str">
        <f>IF($B$4=0," ",(IF(C22=0," ",C22/$B$4)))</f>
        <v> </v>
      </c>
      <c r="E22" s="996" t="str">
        <f>IF($B$4=0,"TABELLE 12 -13 ASSENTI",(IF('t12'!$K$14=0,"TAB. 12 ASSENTE",(IF('t13'!$L$14=0,"TAB. 13 ASSENTE"," ")))))</f>
        <v>TABELLE 12 -13 ASSENTI</v>
      </c>
      <c r="F22" s="997" t="s">
        <v>266</v>
      </c>
      <c r="G22" s="998" t="s">
        <v>266</v>
      </c>
      <c r="H22" s="399"/>
      <c r="I22" s="399"/>
      <c r="J22" s="399"/>
      <c r="K22" s="399"/>
      <c r="L22" s="399"/>
      <c r="M22" s="399"/>
      <c r="N22" s="399"/>
    </row>
    <row r="23" spans="1:14" ht="24" customHeight="1" thickBot="1">
      <c r="A23" s="203" t="str">
        <f>'t14'!A22</f>
        <v>IRAP</v>
      </c>
      <c r="B23" s="307" t="str">
        <f>'t14'!B22</f>
        <v>P061</v>
      </c>
      <c r="C23" s="304">
        <f>'t14'!D22</f>
        <v>0</v>
      </c>
      <c r="D23" s="402" t="str">
        <f>IF($B$4=0," ",IF(C23=0," ",C23/$B$4))</f>
        <v> </v>
      </c>
      <c r="E23" s="474" t="str">
        <f>IF(AND(B4=0,C31=0)," ",IF(C31=0,"TABELLA 14 ASSENTE",IF(AND(B4=0,C18=0,C19=0,C25=0),"INSERIRE RETRIBUZIONI",IF(C23=0,"INSERIRE SOMME IRAP",ROUND((C23/(B4+C18+C19+C25)*100),2)))))</f>
        <v> </v>
      </c>
      <c r="F23" s="1005" t="str">
        <f>IF('t14'!G22=1,IF(E23&gt;8.5,"VALORE INCONGRUENTE (Inc.4)","E' stata dichiarata IRAP Commerciale"),IF(AND(B4=0,C31=0)," ",IF(C31=0,"VALORE INCONGRUENTE",IF(C23=0," ",IF(OR(E23&lt;7.65,E23&gt;9.35),"VALORE INCONGRUENTE (Inc.4)","OK")))))</f>
        <v> </v>
      </c>
      <c r="G23" s="1006"/>
      <c r="H23" s="399"/>
      <c r="I23" s="399"/>
      <c r="J23" s="399"/>
      <c r="K23" s="399"/>
      <c r="L23" s="399"/>
      <c r="M23" s="399"/>
      <c r="N23" s="399"/>
    </row>
    <row r="24" spans="1:14" ht="19.5" customHeight="1" thickBot="1">
      <c r="A24" s="203" t="str">
        <f>'t14'!A23</f>
        <v>ONERI PER I CONTRATTI DI SOMMINISTRAZIONE(INTERINALI)</v>
      </c>
      <c r="B24" s="307" t="str">
        <f>'t14'!B23</f>
        <v>P062</v>
      </c>
      <c r="C24" s="305">
        <f>'t14'!D23</f>
        <v>0</v>
      </c>
      <c r="D24" s="404" t="str">
        <f>IF($B$4=0," ",(IF(AND(C24=0,C12&gt;0),"MANCANO GLI ONERI PER I LAVORATORI",IF(C24=0," ",C24/$B$4))))</f>
        <v> </v>
      </c>
      <c r="E24" s="985" t="str">
        <f>(IF(AND(C24=0,C12&gt;0),"L105 VALORIZZATA; INSERIRE RETRIBUZIONI PER INTERINALI (P062)"," "))</f>
        <v> </v>
      </c>
      <c r="F24" s="986"/>
      <c r="G24" s="987"/>
      <c r="H24" s="399"/>
      <c r="I24" s="399"/>
      <c r="J24" s="399"/>
      <c r="K24" s="399"/>
      <c r="L24" s="399"/>
      <c r="M24" s="399"/>
      <c r="N24" s="399"/>
    </row>
    <row r="25" spans="1:14" ht="19.5" customHeight="1">
      <c r="A25" s="203" t="str">
        <f>'t14'!A24</f>
        <v>COMPENSI PER PERSONALE LSU/LPU</v>
      </c>
      <c r="B25" s="307" t="str">
        <f>'t14'!B24</f>
        <v>P065</v>
      </c>
      <c r="C25" s="304">
        <f>'t14'!D24</f>
        <v>0</v>
      </c>
      <c r="D25" s="406" t="str">
        <f aca="true" t="shared" si="2" ref="D25:D30">IF($B$4=0," ",(IF(C25=0," ",C25/$B$4)))</f>
        <v> </v>
      </c>
      <c r="E25" s="996" t="str">
        <f>IF($B$4=0,"TABELLE 12 -13 ASSENTI",(IF('t12'!$K$14=0,"TAB. 12 ASSENTE",(IF('t13'!$L$14=0,"TAB. 13 ASSENTE"," ")))))</f>
        <v>TABELLE 12 -13 ASSENTI</v>
      </c>
      <c r="F25" s="997"/>
      <c r="G25" s="998"/>
      <c r="H25" s="399"/>
      <c r="I25" s="399"/>
      <c r="J25" s="399"/>
      <c r="K25" s="399"/>
      <c r="L25" s="399"/>
      <c r="M25" s="399"/>
      <c r="N25" s="399"/>
    </row>
    <row r="26" spans="1:14" ht="19.5" customHeight="1">
      <c r="A26" s="203" t="str">
        <f>'t14'!A25</f>
        <v>SOMME RIMBORSATE PER PERSONALE COMAND./FUORI RUOLO/IN CONV.</v>
      </c>
      <c r="B26" s="307" t="str">
        <f>'t14'!B25</f>
        <v>P071</v>
      </c>
      <c r="C26" s="304">
        <f>'t14'!D25</f>
        <v>0</v>
      </c>
      <c r="D26" s="405" t="str">
        <f t="shared" si="2"/>
        <v> </v>
      </c>
      <c r="E26" s="996"/>
      <c r="F26" s="997"/>
      <c r="G26" s="998"/>
      <c r="H26" s="399"/>
      <c r="I26" s="399"/>
      <c r="J26" s="399"/>
      <c r="K26" s="399"/>
      <c r="L26" s="399"/>
      <c r="M26" s="399"/>
      <c r="N26" s="399"/>
    </row>
    <row r="27" spans="1:14" ht="19.5" customHeight="1">
      <c r="A27" s="203" t="str">
        <f>'t14'!A26</f>
        <v>ALTRE SOMME RIMBORSATE ALLE AMMINISTRAZIONI</v>
      </c>
      <c r="B27" s="307" t="str">
        <f>'t14'!B26</f>
        <v>P074</v>
      </c>
      <c r="C27" s="304">
        <f>'t14'!D26</f>
        <v>0</v>
      </c>
      <c r="D27" s="405" t="str">
        <f t="shared" si="2"/>
        <v> </v>
      </c>
      <c r="E27" s="996"/>
      <c r="F27" s="997"/>
      <c r="G27" s="998"/>
      <c r="H27" s="399"/>
      <c r="I27" s="399"/>
      <c r="J27" s="399"/>
      <c r="K27" s="399"/>
      <c r="L27" s="399"/>
      <c r="M27" s="399"/>
      <c r="N27" s="399"/>
    </row>
    <row r="28" spans="1:14" ht="19.5" customHeight="1">
      <c r="A28" s="203" t="str">
        <f>'t14'!A27</f>
        <v>SOMME RICEVUTE DA U.E. E/O PRIVATI (-)</v>
      </c>
      <c r="B28" s="307" t="str">
        <f>'t14'!B27</f>
        <v>P098</v>
      </c>
      <c r="C28" s="304">
        <f>'t14'!D27</f>
        <v>0</v>
      </c>
      <c r="D28" s="405" t="str">
        <f t="shared" si="2"/>
        <v> </v>
      </c>
      <c r="E28" s="996"/>
      <c r="F28" s="997"/>
      <c r="G28" s="998"/>
      <c r="H28" s="399"/>
      <c r="I28" s="399"/>
      <c r="J28" s="399"/>
      <c r="K28" s="399"/>
      <c r="L28" s="399"/>
      <c r="M28" s="399"/>
      <c r="N28" s="399"/>
    </row>
    <row r="29" spans="1:14" ht="19.5" customHeight="1">
      <c r="A29" s="203" t="str">
        <f>'t14'!A28</f>
        <v>RIMBORSI RICEVUTI PER PERS. COMAND./FUORI RUOLO/IN CONV. (-)</v>
      </c>
      <c r="B29" s="307" t="str">
        <f>'t14'!B28</f>
        <v>P090</v>
      </c>
      <c r="C29" s="304">
        <f>'t14'!D28</f>
        <v>0</v>
      </c>
      <c r="D29" s="405" t="str">
        <f t="shared" si="2"/>
        <v> </v>
      </c>
      <c r="E29" s="996"/>
      <c r="F29" s="997"/>
      <c r="G29" s="998"/>
      <c r="H29" s="399"/>
      <c r="I29" s="399"/>
      <c r="J29" s="399"/>
      <c r="K29" s="399"/>
      <c r="L29" s="399"/>
      <c r="M29" s="399"/>
      <c r="N29" s="399"/>
    </row>
    <row r="30" spans="1:14" ht="19.5" customHeight="1" thickBot="1">
      <c r="A30" s="203" t="str">
        <f>'t14'!A29</f>
        <v>ALTRI RIMBORSI RICEVUTI DALLE AMMINISTRAZIONI (-)</v>
      </c>
      <c r="B30" s="307" t="str">
        <f>'t14'!B29</f>
        <v>P099</v>
      </c>
      <c r="C30" s="304">
        <f>'t14'!D29</f>
        <v>0</v>
      </c>
      <c r="D30" s="405" t="str">
        <f t="shared" si="2"/>
        <v> </v>
      </c>
      <c r="E30" s="999"/>
      <c r="F30" s="1000"/>
      <c r="G30" s="1001"/>
      <c r="H30" s="399"/>
      <c r="I30" s="399"/>
      <c r="J30" s="399"/>
      <c r="K30" s="399"/>
      <c r="L30" s="399"/>
      <c r="M30" s="399"/>
      <c r="N30" s="399"/>
    </row>
    <row r="31" spans="1:14" s="398" customFormat="1" ht="18" customHeight="1">
      <c r="A31" s="396" t="s">
        <v>58</v>
      </c>
      <c r="B31" s="396"/>
      <c r="C31" s="397">
        <f>SUM(C6:C30)</f>
        <v>0</v>
      </c>
      <c r="D31" s="396"/>
      <c r="E31" s="396"/>
      <c r="F31" s="396"/>
      <c r="G31" s="396"/>
      <c r="I31" s="400"/>
      <c r="J31" s="400"/>
      <c r="K31" s="400"/>
      <c r="L31" s="400"/>
      <c r="M31" s="400"/>
      <c r="N31" s="400"/>
    </row>
  </sheetData>
  <sheetProtection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5.xml><?xml version="1.0" encoding="utf-8"?>
<worksheet xmlns="http://schemas.openxmlformats.org/spreadsheetml/2006/main" xmlns:r="http://schemas.openxmlformats.org/officeDocument/2006/relationships">
  <sheetPr codeName="Foglio30"/>
  <dimension ref="A1:K13"/>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60.66015625" style="5" customWidth="1"/>
    <col min="2" max="2" width="11.33203125" style="7" customWidth="1"/>
    <col min="3" max="3" width="21.33203125" style="392" customWidth="1"/>
    <col min="4" max="5" width="21.33203125" style="7" customWidth="1"/>
    <col min="6" max="6" width="21.33203125" style="343" customWidth="1"/>
    <col min="7" max="7" width="21.33203125" style="7" customWidth="1"/>
    <col min="8" max="8" width="9.33203125" style="100" customWidth="1"/>
  </cols>
  <sheetData>
    <row r="1" spans="1:11" s="5" customFormat="1" ht="43.5" customHeight="1">
      <c r="A1" s="882" t="str">
        <f>'t1'!A1</f>
        <v>AVVOCATURA DI STATO - anno 2021</v>
      </c>
      <c r="B1" s="882"/>
      <c r="C1" s="882"/>
      <c r="D1" s="882"/>
      <c r="E1" s="882"/>
      <c r="F1" s="882"/>
      <c r="G1" s="882"/>
      <c r="I1" s="3"/>
      <c r="K1"/>
    </row>
    <row r="2" spans="3:11" s="5" customFormat="1" ht="12.75" customHeight="1">
      <c r="C2" s="389"/>
      <c r="D2" s="965"/>
      <c r="E2" s="965"/>
      <c r="F2" s="965"/>
      <c r="G2" s="965"/>
      <c r="H2" s="299"/>
      <c r="I2" s="3"/>
      <c r="K2"/>
    </row>
    <row r="3" spans="1:7" s="5" customFormat="1" ht="21" customHeight="1">
      <c r="A3" s="181" t="s">
        <v>269</v>
      </c>
      <c r="B3" s="7"/>
      <c r="C3" s="389"/>
      <c r="F3" s="344"/>
      <c r="G3" s="7"/>
    </row>
    <row r="4" spans="1:7" ht="53.25" customHeight="1">
      <c r="A4" s="167" t="s">
        <v>209</v>
      </c>
      <c r="B4" s="169" t="s">
        <v>171</v>
      </c>
      <c r="C4" s="390" t="str">
        <f>"Presenti 31.12."&amp;'t1'!L1&amp;" (Tab T1) uomini+donne della tabella T1"</f>
        <v>Presenti 31.12.2021 (Tab T1) uomini+donne della tabella T1</v>
      </c>
      <c r="D4" s="168" t="s">
        <v>264</v>
      </c>
      <c r="E4" s="168" t="s">
        <v>267</v>
      </c>
      <c r="F4" s="393" t="s">
        <v>268</v>
      </c>
      <c r="G4" s="168" t="s">
        <v>270</v>
      </c>
    </row>
    <row r="5" spans="1:8" s="185" customFormat="1" ht="9.75">
      <c r="A5" s="166"/>
      <c r="B5" s="179"/>
      <c r="C5" s="391" t="s">
        <v>173</v>
      </c>
      <c r="D5" s="183" t="s">
        <v>174</v>
      </c>
      <c r="E5" s="183" t="s">
        <v>175</v>
      </c>
      <c r="F5" s="394" t="s">
        <v>176</v>
      </c>
      <c r="G5" s="183"/>
      <c r="H5" s="100"/>
    </row>
    <row r="6" spans="1:7" ht="12.75">
      <c r="A6" s="124" t="str">
        <f>'t1'!A6</f>
        <v>AVVOCATO GENERALE</v>
      </c>
      <c r="B6" s="301" t="str">
        <f>'t1'!B6</f>
        <v>0D0381</v>
      </c>
      <c r="C6" s="632">
        <f>('t1'!K6+'t1'!L6)</f>
        <v>0</v>
      </c>
      <c r="D6" s="325">
        <f>'t5'!U7+'t5'!V7</f>
        <v>0</v>
      </c>
      <c r="E6" s="325">
        <f>'t4'!K6</f>
        <v>0</v>
      </c>
      <c r="F6" s="326">
        <f>'t12'!C6</f>
        <v>0</v>
      </c>
      <c r="G6" s="345" t="str">
        <f>IF(OR(AND(NOT(C6),NOT(D6),NOT(E6),NOT(F6)),AND((OR(C6,D6,E6)),F6)),"OK","ERRORE")</f>
        <v>OK</v>
      </c>
    </row>
    <row r="7" spans="1:7" ht="12.75">
      <c r="A7" s="124" t="str">
        <f>'t1'!A7</f>
        <v>AVVOCATO GENERALE AGGIUNTO</v>
      </c>
      <c r="B7" s="301" t="str">
        <f>'t1'!B7</f>
        <v>0D0845</v>
      </c>
      <c r="C7" s="632">
        <f>('t1'!K7+'t1'!L7)</f>
        <v>0</v>
      </c>
      <c r="D7" s="325">
        <f>'t5'!U8+'t5'!V8</f>
        <v>0</v>
      </c>
      <c r="E7" s="325">
        <f>'t4'!K7</f>
        <v>0</v>
      </c>
      <c r="F7" s="326">
        <f>'t12'!C7</f>
        <v>0</v>
      </c>
      <c r="G7" s="345" t="str">
        <f aca="true" t="shared" si="0" ref="G7:G13">IF(OR(AND(NOT(C7),NOT(D7),NOT(E7),NOT(F7)),AND((OR(C7,D7,E7)),F7)),"OK","ERRORE")</f>
        <v>OK</v>
      </c>
    </row>
    <row r="8" spans="1:7" ht="12.75">
      <c r="A8" s="124" t="str">
        <f>'t1'!A8</f>
        <v>AVVOCATO IV CLASSE</v>
      </c>
      <c r="B8" s="301" t="str">
        <f>'t1'!B8</f>
        <v>0D0380</v>
      </c>
      <c r="C8" s="632">
        <f>('t1'!K8+'t1'!L8)</f>
        <v>0</v>
      </c>
      <c r="D8" s="325">
        <f>'t5'!U9+'t5'!V9</f>
        <v>0</v>
      </c>
      <c r="E8" s="325">
        <f>'t4'!K8</f>
        <v>0</v>
      </c>
      <c r="F8" s="326">
        <f>'t12'!C8</f>
        <v>0</v>
      </c>
      <c r="G8" s="345" t="str">
        <f t="shared" si="0"/>
        <v>OK</v>
      </c>
    </row>
    <row r="9" spans="1:7" ht="12.75">
      <c r="A9" s="124" t="str">
        <f>'t1'!A9</f>
        <v>AVVOCATO III CLASSE</v>
      </c>
      <c r="B9" s="301" t="str">
        <f>'t1'!B9</f>
        <v>0D0379</v>
      </c>
      <c r="C9" s="632">
        <f>('t1'!K9+'t1'!L9)</f>
        <v>0</v>
      </c>
      <c r="D9" s="325">
        <f>'t5'!U10+'t5'!V10</f>
        <v>0</v>
      </c>
      <c r="E9" s="325">
        <f>'t4'!K9</f>
        <v>0</v>
      </c>
      <c r="F9" s="326">
        <f>'t12'!C9</f>
        <v>0</v>
      </c>
      <c r="G9" s="345" t="str">
        <f t="shared" si="0"/>
        <v>OK</v>
      </c>
    </row>
    <row r="10" spans="1:7" ht="12.75">
      <c r="A10" s="124" t="str">
        <f>'t1'!A10</f>
        <v>AVVOCATO II CLASSE ED EQUIP.</v>
      </c>
      <c r="B10" s="301" t="str">
        <f>'t1'!B10</f>
        <v>0D0A2E</v>
      </c>
      <c r="C10" s="632">
        <f>('t1'!K10+'t1'!L10)</f>
        <v>0</v>
      </c>
      <c r="D10" s="325">
        <f>'t5'!U11+'t5'!V11</f>
        <v>0</v>
      </c>
      <c r="E10" s="325">
        <f>'t4'!K10</f>
        <v>0</v>
      </c>
      <c r="F10" s="326">
        <f>'t12'!C10</f>
        <v>0</v>
      </c>
      <c r="G10" s="345" t="str">
        <f t="shared" si="0"/>
        <v>OK</v>
      </c>
    </row>
    <row r="11" spans="1:7" ht="12.75">
      <c r="A11" s="124" t="str">
        <f>'t1'!A11</f>
        <v>AVVOCATO I CLASSE ED EQUIP.</v>
      </c>
      <c r="B11" s="301" t="str">
        <f>'t1'!B11</f>
        <v>0D0A1E</v>
      </c>
      <c r="C11" s="632">
        <f>('t1'!K11+'t1'!L11)</f>
        <v>0</v>
      </c>
      <c r="D11" s="325">
        <f>'t5'!U12+'t5'!V12</f>
        <v>0</v>
      </c>
      <c r="E11" s="325">
        <f>'t4'!K11</f>
        <v>0</v>
      </c>
      <c r="F11" s="326">
        <f>'t12'!C11</f>
        <v>0</v>
      </c>
      <c r="G11" s="345" t="str">
        <f t="shared" si="0"/>
        <v>OK</v>
      </c>
    </row>
    <row r="12" spans="1:7" ht="12.75">
      <c r="A12" s="124" t="str">
        <f>'t1'!A12</f>
        <v>PROCURATORE II CLASSE</v>
      </c>
      <c r="B12" s="301" t="str">
        <f>'t1'!B12</f>
        <v>0D0383</v>
      </c>
      <c r="C12" s="632">
        <f>('t1'!K12+'t1'!L12)</f>
        <v>0</v>
      </c>
      <c r="D12" s="325">
        <f>'t5'!U13+'t5'!V13</f>
        <v>0</v>
      </c>
      <c r="E12" s="325">
        <f>'t4'!K12</f>
        <v>0</v>
      </c>
      <c r="F12" s="326">
        <f>'t12'!C12</f>
        <v>0</v>
      </c>
      <c r="G12" s="345" t="str">
        <f t="shared" si="0"/>
        <v>OK</v>
      </c>
    </row>
    <row r="13" spans="1:7" ht="12.75">
      <c r="A13" s="124" t="str">
        <f>'t1'!A13</f>
        <v>PROCURATORE I CLASSE</v>
      </c>
      <c r="B13" s="301" t="str">
        <f>'t1'!B13</f>
        <v>0D0382</v>
      </c>
      <c r="C13" s="632">
        <f>('t1'!K13+'t1'!L13)</f>
        <v>0</v>
      </c>
      <c r="D13" s="325">
        <f>'t5'!U14+'t5'!V14</f>
        <v>0</v>
      </c>
      <c r="E13" s="325">
        <f>'t4'!K13</f>
        <v>0</v>
      </c>
      <c r="F13" s="326">
        <f>'t12'!C13</f>
        <v>0</v>
      </c>
      <c r="G13" s="345"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6.xml><?xml version="1.0" encoding="utf-8"?>
<worksheet xmlns="http://schemas.openxmlformats.org/spreadsheetml/2006/main" xmlns:r="http://schemas.openxmlformats.org/officeDocument/2006/relationships">
  <sheetPr codeName="Foglio31"/>
  <dimension ref="A1:I13"/>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60.66015625" style="5" customWidth="1"/>
    <col min="2" max="2" width="11.33203125" style="7" customWidth="1"/>
    <col min="3" max="3" width="17.83203125" style="7" customWidth="1"/>
    <col min="4" max="4" width="26.66015625" style="343" customWidth="1"/>
    <col min="5" max="5" width="15.83203125" style="7" customWidth="1"/>
    <col min="6" max="6" width="9.33203125" style="100" customWidth="1"/>
  </cols>
  <sheetData>
    <row r="1" spans="1:9" s="5" customFormat="1" ht="43.5" customHeight="1">
      <c r="A1" s="882" t="str">
        <f>'t1'!A1</f>
        <v>AVVOCATURA DI STATO - anno 2021</v>
      </c>
      <c r="B1" s="882"/>
      <c r="C1" s="882"/>
      <c r="D1" s="882"/>
      <c r="E1" s="882"/>
      <c r="G1" s="3"/>
      <c r="I1"/>
    </row>
    <row r="2" spans="3:9" s="5" customFormat="1" ht="12.75" customHeight="1">
      <c r="C2" s="965"/>
      <c r="D2" s="965"/>
      <c r="E2" s="965"/>
      <c r="F2" s="299"/>
      <c r="G2" s="3"/>
      <c r="I2"/>
    </row>
    <row r="3" spans="1:5" s="5" customFormat="1" ht="21" customHeight="1">
      <c r="A3" s="181" t="s">
        <v>303</v>
      </c>
      <c r="B3" s="7"/>
      <c r="D3" s="344"/>
      <c r="E3" s="7"/>
    </row>
    <row r="4" spans="1:5" ht="81.75" customHeight="1">
      <c r="A4" s="167" t="s">
        <v>209</v>
      </c>
      <c r="B4" s="169" t="s">
        <v>171</v>
      </c>
      <c r="C4" s="168" t="s">
        <v>265</v>
      </c>
      <c r="D4" s="393" t="s">
        <v>285</v>
      </c>
      <c r="E4" s="168" t="s">
        <v>275</v>
      </c>
    </row>
    <row r="5" spans="1:6" s="185" customFormat="1" ht="9.75">
      <c r="A5" s="166"/>
      <c r="B5" s="179"/>
      <c r="C5" s="183" t="s">
        <v>173</v>
      </c>
      <c r="D5" s="394" t="s">
        <v>174</v>
      </c>
      <c r="E5" s="183"/>
      <c r="F5" s="184"/>
    </row>
    <row r="6" spans="1:5" ht="12.75">
      <c r="A6" s="124" t="str">
        <f>'t1'!A6</f>
        <v>AVVOCATO GENERALE</v>
      </c>
      <c r="B6" s="301" t="str">
        <f>'t1'!B6</f>
        <v>0D0381</v>
      </c>
      <c r="C6" s="325">
        <f>'t13'!L6</f>
        <v>0</v>
      </c>
      <c r="D6" s="395">
        <f>('t3'!K6+'t3'!L6+'t3'!M6+'t3'!N6+'t3'!O6+'t3'!P6)+('t12'!C6/12)</f>
        <v>0</v>
      </c>
      <c r="E6" s="345" t="str">
        <f>IF(OR((NOT(C6)),(AND(C6&gt;=0,D6&gt;0))),"OK","ERRORE")</f>
        <v>OK</v>
      </c>
    </row>
    <row r="7" spans="1:5" ht="12.75">
      <c r="A7" s="124" t="str">
        <f>'t1'!A7</f>
        <v>AVVOCATO GENERALE AGGIUNTO</v>
      </c>
      <c r="B7" s="301" t="str">
        <f>'t1'!B7</f>
        <v>0D0845</v>
      </c>
      <c r="C7" s="325">
        <f>'t13'!L7</f>
        <v>0</v>
      </c>
      <c r="D7" s="395">
        <f>('t3'!K7+'t3'!L7+'t3'!M7+'t3'!N7+'t3'!O7+'t3'!P7)+('t12'!C7/12)</f>
        <v>0</v>
      </c>
      <c r="E7" s="345" t="str">
        <f aca="true" t="shared" si="0" ref="E7:E13">IF(OR((NOT(C7)),(AND(C7&gt;=0,D7&gt;0))),"OK","ERRORE")</f>
        <v>OK</v>
      </c>
    </row>
    <row r="8" spans="1:5" ht="12.75">
      <c r="A8" s="124" t="str">
        <f>'t1'!A8</f>
        <v>AVVOCATO IV CLASSE</v>
      </c>
      <c r="B8" s="301" t="str">
        <f>'t1'!B8</f>
        <v>0D0380</v>
      </c>
      <c r="C8" s="325">
        <f>'t13'!L8</f>
        <v>0</v>
      </c>
      <c r="D8" s="395">
        <f>('t3'!K8+'t3'!L8+'t3'!M8+'t3'!N8+'t3'!O8+'t3'!P8)+('t12'!C8/12)</f>
        <v>0</v>
      </c>
      <c r="E8" s="345" t="str">
        <f t="shared" si="0"/>
        <v>OK</v>
      </c>
    </row>
    <row r="9" spans="1:5" ht="12.75">
      <c r="A9" s="124" t="str">
        <f>'t1'!A9</f>
        <v>AVVOCATO III CLASSE</v>
      </c>
      <c r="B9" s="301" t="str">
        <f>'t1'!B9</f>
        <v>0D0379</v>
      </c>
      <c r="C9" s="325">
        <f>'t13'!L9</f>
        <v>0</v>
      </c>
      <c r="D9" s="395">
        <f>('t3'!K9+'t3'!L9+'t3'!M9+'t3'!N9+'t3'!O9+'t3'!P9)+('t12'!C9/12)</f>
        <v>0</v>
      </c>
      <c r="E9" s="345" t="str">
        <f t="shared" si="0"/>
        <v>OK</v>
      </c>
    </row>
    <row r="10" spans="1:5" ht="12.75">
      <c r="A10" s="124" t="str">
        <f>'t1'!A10</f>
        <v>AVVOCATO II CLASSE ED EQUIP.</v>
      </c>
      <c r="B10" s="301" t="str">
        <f>'t1'!B10</f>
        <v>0D0A2E</v>
      </c>
      <c r="C10" s="325">
        <f>'t13'!L10</f>
        <v>0</v>
      </c>
      <c r="D10" s="395">
        <f>('t3'!K10+'t3'!L10+'t3'!M10+'t3'!N10+'t3'!O10+'t3'!P10)+('t12'!C10/12)</f>
        <v>0</v>
      </c>
      <c r="E10" s="345" t="str">
        <f t="shared" si="0"/>
        <v>OK</v>
      </c>
    </row>
    <row r="11" spans="1:5" ht="12.75">
      <c r="A11" s="124" t="str">
        <f>'t1'!A11</f>
        <v>AVVOCATO I CLASSE ED EQUIP.</v>
      </c>
      <c r="B11" s="301" t="str">
        <f>'t1'!B11</f>
        <v>0D0A1E</v>
      </c>
      <c r="C11" s="325">
        <f>'t13'!L11</f>
        <v>0</v>
      </c>
      <c r="D11" s="395">
        <f>('t3'!K11+'t3'!L11+'t3'!M11+'t3'!N11+'t3'!O11+'t3'!P11)+('t12'!C11/12)</f>
        <v>0</v>
      </c>
      <c r="E11" s="345" t="str">
        <f t="shared" si="0"/>
        <v>OK</v>
      </c>
    </row>
    <row r="12" spans="1:5" ht="12.75">
      <c r="A12" s="124" t="str">
        <f>'t1'!A12</f>
        <v>PROCURATORE II CLASSE</v>
      </c>
      <c r="B12" s="301" t="str">
        <f>'t1'!B12</f>
        <v>0D0383</v>
      </c>
      <c r="C12" s="325">
        <f>'t13'!L12</f>
        <v>0</v>
      </c>
      <c r="D12" s="395">
        <f>('t3'!K12+'t3'!L12+'t3'!M12+'t3'!N12+'t3'!O12+'t3'!P12)+('t12'!C12/12)</f>
        <v>0</v>
      </c>
      <c r="E12" s="345" t="str">
        <f t="shared" si="0"/>
        <v>OK</v>
      </c>
    </row>
    <row r="13" spans="1:5" ht="12.75">
      <c r="A13" s="124" t="str">
        <f>'t1'!A13</f>
        <v>PROCURATORE I CLASSE</v>
      </c>
      <c r="B13" s="301" t="str">
        <f>'t1'!B13</f>
        <v>0D0382</v>
      </c>
      <c r="C13" s="325">
        <f>'t13'!L13</f>
        <v>0</v>
      </c>
      <c r="D13" s="395">
        <f>('t3'!K13+'t3'!L13+'t3'!M13+'t3'!N13+'t3'!O13+'t3'!P13)+('t12'!C13/12)</f>
        <v>0</v>
      </c>
      <c r="E13" s="345"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28"/>
  <dimension ref="A1:N1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60.660156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882" t="str">
        <f>'t1'!A1</f>
        <v>AVVOCATURA DI STATO - anno 2021</v>
      </c>
      <c r="B1" s="882"/>
      <c r="C1" s="882"/>
      <c r="D1" s="882"/>
      <c r="E1" s="882"/>
      <c r="F1" s="882"/>
      <c r="G1" s="882"/>
      <c r="H1" s="882"/>
      <c r="I1" s="882"/>
      <c r="J1" s="882"/>
      <c r="K1" s="882"/>
      <c r="L1" s="3"/>
      <c r="N1"/>
    </row>
    <row r="2" spans="4:14" s="5" customFormat="1" ht="12.75" customHeight="1">
      <c r="D2" s="965"/>
      <c r="E2" s="965"/>
      <c r="F2" s="965"/>
      <c r="G2" s="965"/>
      <c r="H2" s="965"/>
      <c r="I2" s="965"/>
      <c r="J2" s="965"/>
      <c r="K2" s="965"/>
      <c r="L2" s="3"/>
      <c r="N2"/>
    </row>
    <row r="3" spans="1:3" s="5" customFormat="1" ht="21" customHeight="1">
      <c r="A3" s="181" t="s">
        <v>497</v>
      </c>
      <c r="B3" s="7"/>
      <c r="C3" s="7"/>
    </row>
    <row r="4" spans="1:12" ht="40.5">
      <c r="A4" s="167" t="s">
        <v>209</v>
      </c>
      <c r="B4" s="169" t="s">
        <v>171</v>
      </c>
      <c r="C4" s="168" t="s">
        <v>36</v>
      </c>
      <c r="D4" s="168" t="s">
        <v>37</v>
      </c>
      <c r="E4" s="168" t="s">
        <v>38</v>
      </c>
      <c r="F4" s="168" t="s">
        <v>39</v>
      </c>
      <c r="G4" s="168" t="s">
        <v>40</v>
      </c>
      <c r="H4" s="168" t="s">
        <v>41</v>
      </c>
      <c r="I4" s="168" t="s">
        <v>42</v>
      </c>
      <c r="J4" s="168" t="s">
        <v>43</v>
      </c>
      <c r="K4" s="168" t="s">
        <v>44</v>
      </c>
      <c r="L4" s="540" t="s">
        <v>371</v>
      </c>
    </row>
    <row r="5" spans="1:12" s="185" customFormat="1" ht="51" hidden="1">
      <c r="A5" s="166"/>
      <c r="B5" s="179"/>
      <c r="C5" s="179" t="s">
        <v>173</v>
      </c>
      <c r="D5" s="183" t="s">
        <v>174</v>
      </c>
      <c r="E5" s="183" t="s">
        <v>175</v>
      </c>
      <c r="F5" s="183" t="s">
        <v>176</v>
      </c>
      <c r="G5" s="183" t="s">
        <v>177</v>
      </c>
      <c r="H5" s="183" t="s">
        <v>197</v>
      </c>
      <c r="I5" s="183"/>
      <c r="J5" s="583" t="s">
        <v>384</v>
      </c>
      <c r="K5" s="583" t="s">
        <v>469</v>
      </c>
      <c r="L5" s="585"/>
    </row>
    <row r="6" spans="1:12" ht="12.75">
      <c r="A6" s="124" t="str">
        <f>'t1'!A6</f>
        <v>AVVOCATO GENERALE</v>
      </c>
      <c r="B6" s="301" t="str">
        <f>'t1'!B6</f>
        <v>0D0381</v>
      </c>
      <c r="C6" s="325">
        <f>'t11'!W8+'t11'!X8</f>
        <v>0</v>
      </c>
      <c r="D6" s="325">
        <f>'t1'!K6+'t1'!L6</f>
        <v>0</v>
      </c>
      <c r="E6" s="325">
        <f>'t3'!K6+'t3'!L6+'t3'!M6+'t3'!N6+'t3'!O6+'t3'!P6</f>
        <v>0</v>
      </c>
      <c r="F6" s="325">
        <f>'t4'!K6</f>
        <v>0</v>
      </c>
      <c r="G6" s="323">
        <f>'t4'!C14</f>
        <v>0</v>
      </c>
      <c r="H6" s="325">
        <f>'t5'!U7+'t5'!V7</f>
        <v>0</v>
      </c>
      <c r="I6" s="345" t="str">
        <f>IF(AND(J6="OK",K6="OK"),"OK","ERRORE")</f>
        <v>OK</v>
      </c>
      <c r="J6" s="345" t="str">
        <f aca="true" t="shared" si="0" ref="J6:J13">IF(AND(C6&gt;0,D6=0,E6=0,F6=0,G6=0,H6=0),"KO","OK")</f>
        <v>OK</v>
      </c>
      <c r="K6" s="345" t="str">
        <f aca="true" t="shared" si="1" ref="K6:K13">IF(AND(C6=0,OR(D6&gt;0,E6&gt;0,F6&gt;0,G6&gt;0,H6&gt;0)),"KO","OK")</f>
        <v>OK</v>
      </c>
      <c r="L6" s="586">
        <f>IF(K6="KO",$K$5,IF(J6="KO",$J$5,""))</f>
      </c>
    </row>
    <row r="7" spans="1:12" ht="12.75">
      <c r="A7" s="124" t="str">
        <f>'t1'!A7</f>
        <v>AVVOCATO GENERALE AGGIUNTO</v>
      </c>
      <c r="B7" s="301" t="str">
        <f>'t1'!B7</f>
        <v>0D0845</v>
      </c>
      <c r="C7" s="325">
        <f>'t11'!W9+'t11'!X9</f>
        <v>0</v>
      </c>
      <c r="D7" s="325">
        <f>'t1'!K7+'t1'!L7</f>
        <v>0</v>
      </c>
      <c r="E7" s="325">
        <f>'t3'!K7+'t3'!L7+'t3'!M7+'t3'!N7+'t3'!O7+'t3'!P7</f>
        <v>0</v>
      </c>
      <c r="F7" s="325">
        <f>'t4'!K7</f>
        <v>0</v>
      </c>
      <c r="G7" s="323">
        <f>'t4'!D14</f>
        <v>0</v>
      </c>
      <c r="H7" s="325">
        <f>'t5'!U8+'t5'!V8</f>
        <v>0</v>
      </c>
      <c r="I7" s="345" t="str">
        <f aca="true" t="shared" si="2" ref="I7:I13">IF(AND(J7="OK",K7="OK"),"OK","ERRORE")</f>
        <v>OK</v>
      </c>
      <c r="J7" s="345" t="str">
        <f t="shared" si="0"/>
        <v>OK</v>
      </c>
      <c r="K7" s="345" t="str">
        <f t="shared" si="1"/>
        <v>OK</v>
      </c>
      <c r="L7" s="586">
        <f aca="true" t="shared" si="3" ref="L7:L13">IF(K7="KO",$K$5,IF(J7="KO",$J$5,""))</f>
      </c>
    </row>
    <row r="8" spans="1:12" ht="12.75">
      <c r="A8" s="124" t="str">
        <f>'t1'!A8</f>
        <v>AVVOCATO IV CLASSE</v>
      </c>
      <c r="B8" s="301" t="str">
        <f>'t1'!B8</f>
        <v>0D0380</v>
      </c>
      <c r="C8" s="325">
        <f>'t11'!W10+'t11'!X10</f>
        <v>0</v>
      </c>
      <c r="D8" s="325">
        <f>'t1'!K8+'t1'!L8</f>
        <v>0</v>
      </c>
      <c r="E8" s="325">
        <f>'t3'!K8+'t3'!L8+'t3'!M8+'t3'!N8+'t3'!O8+'t3'!P8</f>
        <v>0</v>
      </c>
      <c r="F8" s="325">
        <f>'t4'!K8</f>
        <v>0</v>
      </c>
      <c r="G8" s="323">
        <f>'t4'!E14</f>
        <v>0</v>
      </c>
      <c r="H8" s="325">
        <f>'t5'!U9+'t5'!V9</f>
        <v>0</v>
      </c>
      <c r="I8" s="345" t="str">
        <f t="shared" si="2"/>
        <v>OK</v>
      </c>
      <c r="J8" s="345" t="str">
        <f t="shared" si="0"/>
        <v>OK</v>
      </c>
      <c r="K8" s="345" t="str">
        <f t="shared" si="1"/>
        <v>OK</v>
      </c>
      <c r="L8" s="586">
        <f t="shared" si="3"/>
      </c>
    </row>
    <row r="9" spans="1:12" ht="12.75">
      <c r="A9" s="124" t="str">
        <f>'t1'!A9</f>
        <v>AVVOCATO III CLASSE</v>
      </c>
      <c r="B9" s="301" t="str">
        <f>'t1'!B9</f>
        <v>0D0379</v>
      </c>
      <c r="C9" s="325">
        <f>'t11'!W11+'t11'!X11</f>
        <v>0</v>
      </c>
      <c r="D9" s="325">
        <f>'t1'!K9+'t1'!L9</f>
        <v>0</v>
      </c>
      <c r="E9" s="325">
        <f>'t3'!K9+'t3'!L9+'t3'!M9+'t3'!N9+'t3'!O9+'t3'!P9</f>
        <v>0</v>
      </c>
      <c r="F9" s="325">
        <f>'t4'!K9</f>
        <v>0</v>
      </c>
      <c r="G9" s="323">
        <f>'t4'!F14</f>
        <v>0</v>
      </c>
      <c r="H9" s="325">
        <f>'t5'!U10+'t5'!V10</f>
        <v>0</v>
      </c>
      <c r="I9" s="345" t="str">
        <f t="shared" si="2"/>
        <v>OK</v>
      </c>
      <c r="J9" s="345" t="str">
        <f t="shared" si="0"/>
        <v>OK</v>
      </c>
      <c r="K9" s="345" t="str">
        <f t="shared" si="1"/>
        <v>OK</v>
      </c>
      <c r="L9" s="586">
        <f t="shared" si="3"/>
      </c>
    </row>
    <row r="10" spans="1:12" ht="12.75">
      <c r="A10" s="124" t="str">
        <f>'t1'!A10</f>
        <v>AVVOCATO II CLASSE ED EQUIP.</v>
      </c>
      <c r="B10" s="301" t="str">
        <f>'t1'!B10</f>
        <v>0D0A2E</v>
      </c>
      <c r="C10" s="325">
        <f>'t11'!W12+'t11'!X12</f>
        <v>0</v>
      </c>
      <c r="D10" s="325">
        <f>'t1'!K10+'t1'!L10</f>
        <v>0</v>
      </c>
      <c r="E10" s="325">
        <f>'t3'!K10+'t3'!L10+'t3'!M10+'t3'!N10+'t3'!O10+'t3'!P10</f>
        <v>0</v>
      </c>
      <c r="F10" s="325">
        <f>'t4'!K10</f>
        <v>0</v>
      </c>
      <c r="G10" s="323">
        <f>'t4'!G14</f>
        <v>0</v>
      </c>
      <c r="H10" s="325">
        <f>'t5'!U11+'t5'!V11</f>
        <v>0</v>
      </c>
      <c r="I10" s="345" t="str">
        <f t="shared" si="2"/>
        <v>OK</v>
      </c>
      <c r="J10" s="345" t="str">
        <f t="shared" si="0"/>
        <v>OK</v>
      </c>
      <c r="K10" s="345" t="str">
        <f t="shared" si="1"/>
        <v>OK</v>
      </c>
      <c r="L10" s="586">
        <f t="shared" si="3"/>
      </c>
    </row>
    <row r="11" spans="1:12" ht="12.75">
      <c r="A11" s="124" t="str">
        <f>'t1'!A11</f>
        <v>AVVOCATO I CLASSE ED EQUIP.</v>
      </c>
      <c r="B11" s="301" t="str">
        <f>'t1'!B11</f>
        <v>0D0A1E</v>
      </c>
      <c r="C11" s="325">
        <f>'t11'!W13+'t11'!X13</f>
        <v>0</v>
      </c>
      <c r="D11" s="325">
        <f>'t1'!K11+'t1'!L11</f>
        <v>0</v>
      </c>
      <c r="E11" s="325">
        <f>'t3'!K11+'t3'!L11+'t3'!M11+'t3'!N11+'t3'!O11+'t3'!P11</f>
        <v>0</v>
      </c>
      <c r="F11" s="325">
        <f>'t4'!K11</f>
        <v>0</v>
      </c>
      <c r="G11" s="323">
        <f>'t4'!H14</f>
        <v>0</v>
      </c>
      <c r="H11" s="325">
        <f>'t5'!U12+'t5'!V12</f>
        <v>0</v>
      </c>
      <c r="I11" s="345" t="str">
        <f t="shared" si="2"/>
        <v>OK</v>
      </c>
      <c r="J11" s="345" t="str">
        <f t="shared" si="0"/>
        <v>OK</v>
      </c>
      <c r="K11" s="345" t="str">
        <f t="shared" si="1"/>
        <v>OK</v>
      </c>
      <c r="L11" s="586">
        <f t="shared" si="3"/>
      </c>
    </row>
    <row r="12" spans="1:12" ht="12.75">
      <c r="A12" s="124" t="str">
        <f>'t1'!A12</f>
        <v>PROCURATORE II CLASSE</v>
      </c>
      <c r="B12" s="301" t="str">
        <f>'t1'!B12</f>
        <v>0D0383</v>
      </c>
      <c r="C12" s="325">
        <f>'t11'!W14+'t11'!X14</f>
        <v>0</v>
      </c>
      <c r="D12" s="325">
        <f>'t1'!K12+'t1'!L12</f>
        <v>0</v>
      </c>
      <c r="E12" s="325">
        <f>'t3'!K12+'t3'!L12+'t3'!M12+'t3'!N12+'t3'!O12+'t3'!P12</f>
        <v>0</v>
      </c>
      <c r="F12" s="325">
        <f>'t4'!K12</f>
        <v>0</v>
      </c>
      <c r="G12" s="323">
        <f>'t4'!I14</f>
        <v>0</v>
      </c>
      <c r="H12" s="325">
        <f>'t5'!U13+'t5'!V13</f>
        <v>0</v>
      </c>
      <c r="I12" s="345" t="str">
        <f t="shared" si="2"/>
        <v>OK</v>
      </c>
      <c r="J12" s="345" t="str">
        <f t="shared" si="0"/>
        <v>OK</v>
      </c>
      <c r="K12" s="345" t="str">
        <f t="shared" si="1"/>
        <v>OK</v>
      </c>
      <c r="L12" s="586">
        <f t="shared" si="3"/>
      </c>
    </row>
    <row r="13" spans="1:12" ht="12.75">
      <c r="A13" s="124" t="str">
        <f>'t1'!A13</f>
        <v>PROCURATORE I CLASSE</v>
      </c>
      <c r="B13" s="301" t="str">
        <f>'t1'!B13</f>
        <v>0D0382</v>
      </c>
      <c r="C13" s="325">
        <f>'t11'!W15+'t11'!X15</f>
        <v>0</v>
      </c>
      <c r="D13" s="325">
        <f>'t1'!K13+'t1'!L13</f>
        <v>0</v>
      </c>
      <c r="E13" s="325">
        <f>'t3'!K13+'t3'!L13+'t3'!M13+'t3'!N13+'t3'!O13+'t3'!P13</f>
        <v>0</v>
      </c>
      <c r="F13" s="325">
        <f>'t4'!K13</f>
        <v>0</v>
      </c>
      <c r="G13" s="323">
        <f>'t4'!J14</f>
        <v>0</v>
      </c>
      <c r="H13" s="325">
        <f>'t5'!U14+'t5'!V14</f>
        <v>0</v>
      </c>
      <c r="I13" s="345" t="str">
        <f t="shared" si="2"/>
        <v>OK</v>
      </c>
      <c r="J13" s="345" t="str">
        <f t="shared" si="0"/>
        <v>OK</v>
      </c>
      <c r="K13" s="345" t="str">
        <f t="shared" si="1"/>
        <v>OK</v>
      </c>
      <c r="L13" s="586">
        <f t="shared" si="3"/>
      </c>
    </row>
  </sheetData>
  <sheetProtection password="EA98" sheet="1" formatColumns="0" selectLockedCells="1" selectUnlockedCells="1"/>
  <mergeCells count="2">
    <mergeCell ref="A1:K1"/>
    <mergeCell ref="D2:K2"/>
  </mergeCells>
  <conditionalFormatting sqref="I6:I13">
    <cfRule type="notContainsText" priority="1" dxfId="16"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8.xml><?xml version="1.0" encoding="utf-8"?>
<worksheet xmlns="http://schemas.openxmlformats.org/spreadsheetml/2006/main" xmlns:r="http://schemas.openxmlformats.org/officeDocument/2006/relationships">
  <sheetPr codeName="Foglio33"/>
  <dimension ref="A1:M1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6" sqref="A16"/>
    </sheetView>
  </sheetViews>
  <sheetFormatPr defaultColWidth="9.33203125" defaultRowHeight="10.5"/>
  <cols>
    <col min="1" max="1" width="60.66015625" style="5" customWidth="1"/>
    <col min="2" max="2" width="10" style="7" customWidth="1"/>
    <col min="3" max="4" width="17.83203125" style="7" customWidth="1"/>
    <col min="5" max="5" width="16.33203125" style="7" customWidth="1"/>
    <col min="6" max="6" width="15.83203125" style="100" customWidth="1"/>
    <col min="7" max="7" width="18.33203125" style="100" customWidth="1"/>
    <col min="8" max="8" width="16.33203125" style="7" customWidth="1"/>
    <col min="9" max="9" width="15.83203125" style="100" customWidth="1"/>
    <col min="10" max="10" width="18.33203125" style="7" customWidth="1"/>
  </cols>
  <sheetData>
    <row r="1" spans="1:13" s="5" customFormat="1" ht="43.5" customHeight="1">
      <c r="A1" s="882" t="str">
        <f>'t1'!A1</f>
        <v>AVVOCATURA DI STATO - anno 2021</v>
      </c>
      <c r="B1" s="882"/>
      <c r="C1" s="882"/>
      <c r="D1" s="882"/>
      <c r="E1" s="882"/>
      <c r="F1" s="882"/>
      <c r="G1" s="882"/>
      <c r="H1" s="882"/>
      <c r="I1" s="882"/>
      <c r="J1" s="882"/>
      <c r="K1" s="3"/>
      <c r="M1"/>
    </row>
    <row r="2" spans="4:13" s="5" customFormat="1" ht="12.75" customHeight="1">
      <c r="D2" s="965"/>
      <c r="E2" s="965"/>
      <c r="F2" s="965"/>
      <c r="G2" s="965"/>
      <c r="H2" s="965"/>
      <c r="I2" s="965"/>
      <c r="J2" s="965"/>
      <c r="K2" s="3"/>
      <c r="M2"/>
    </row>
    <row r="3" spans="1:3" s="5" customFormat="1" ht="21" customHeight="1">
      <c r="A3" s="181" t="s">
        <v>365</v>
      </c>
      <c r="B3" s="7"/>
      <c r="C3" s="7"/>
    </row>
    <row r="4" spans="1:10" ht="30">
      <c r="A4" s="167" t="s">
        <v>209</v>
      </c>
      <c r="B4" s="169" t="s">
        <v>171</v>
      </c>
      <c r="C4" s="540" t="s">
        <v>265</v>
      </c>
      <c r="D4" s="168" t="s">
        <v>272</v>
      </c>
      <c r="E4" s="540" t="s">
        <v>358</v>
      </c>
      <c r="F4" s="540" t="s">
        <v>364</v>
      </c>
      <c r="G4" s="168" t="s">
        <v>308</v>
      </c>
      <c r="H4" s="540" t="s">
        <v>359</v>
      </c>
      <c r="I4" s="540" t="s">
        <v>364</v>
      </c>
      <c r="J4" s="540" t="s">
        <v>360</v>
      </c>
    </row>
    <row r="5" spans="1:10" s="185" customFormat="1" ht="9.75">
      <c r="A5" s="166"/>
      <c r="B5" s="179"/>
      <c r="C5" s="179" t="s">
        <v>173</v>
      </c>
      <c r="D5" s="183" t="s">
        <v>174</v>
      </c>
      <c r="E5" s="183" t="s">
        <v>356</v>
      </c>
      <c r="F5" s="183" t="s">
        <v>362</v>
      </c>
      <c r="G5" s="183" t="s">
        <v>177</v>
      </c>
      <c r="H5" s="183" t="s">
        <v>357</v>
      </c>
      <c r="I5" s="183" t="s">
        <v>363</v>
      </c>
      <c r="J5" s="183"/>
    </row>
    <row r="6" spans="1:10" ht="12.75">
      <c r="A6" s="124" t="str">
        <f>'t1'!A6</f>
        <v>AVVOCATO GENERALE</v>
      </c>
      <c r="B6" s="301" t="str">
        <f>'t1'!B6</f>
        <v>0D0381</v>
      </c>
      <c r="C6" s="325">
        <f>'t13'!L6</f>
        <v>0</v>
      </c>
      <c r="D6" s="325">
        <f>'t13'!I6</f>
        <v>0</v>
      </c>
      <c r="E6" s="327" t="str">
        <f>IF($C6=0," ",IF(D6=0," ",D6/$C6))</f>
        <v> </v>
      </c>
      <c r="F6" s="306" t="str">
        <f>IF($C6=0," ",IF(D6=0," ",IF(E6&gt;0.2,"ERRORE","OK")))</f>
        <v> </v>
      </c>
      <c r="G6" s="325">
        <f>'t13'!J6</f>
        <v>0</v>
      </c>
      <c r="H6" s="327" t="str">
        <f>IF($C6=0," ",IF(G6=0," ",G6/$C6))</f>
        <v> </v>
      </c>
      <c r="I6" s="306" t="str">
        <f>IF($C6=0," ",IF(G6=0," ",IF(H6&gt;0.2,"ERRORE","OK")))</f>
        <v> </v>
      </c>
      <c r="J6" s="345" t="str">
        <f>IF(OR(F6="ERRORE",I6="ERRORE"),"ERRORE","OK")</f>
        <v>OK</v>
      </c>
    </row>
    <row r="7" spans="1:10" ht="12.75">
      <c r="A7" s="124" t="str">
        <f>'t1'!A7</f>
        <v>AVVOCATO GENERALE AGGIUNTO</v>
      </c>
      <c r="B7" s="301" t="str">
        <f>'t1'!B7</f>
        <v>0D0845</v>
      </c>
      <c r="C7" s="325">
        <f>'t13'!L7</f>
        <v>0</v>
      </c>
      <c r="D7" s="325">
        <f>'t13'!I7</f>
        <v>0</v>
      </c>
      <c r="E7" s="327" t="str">
        <f aca="true" t="shared" si="0" ref="E7:E13">IF($C7=0," ",IF(D7=0," ",D7/$C7))</f>
        <v> </v>
      </c>
      <c r="F7" s="306" t="str">
        <f aca="true" t="shared" si="1" ref="F7:F13">IF($C7=0," ",IF(D7=0," ",IF(E7&gt;0.2,"ERRORE","OK")))</f>
        <v> </v>
      </c>
      <c r="G7" s="325">
        <f>'t13'!J7</f>
        <v>0</v>
      </c>
      <c r="H7" s="327" t="str">
        <f aca="true" t="shared" si="2" ref="H7:H13">IF($C7=0," ",IF(G7=0," ",G7/$C7))</f>
        <v> </v>
      </c>
      <c r="I7" s="306" t="str">
        <f aca="true" t="shared" si="3" ref="I7:I13">IF($C7=0," ",IF(G7=0," ",IF(H7&gt;0.2,"ERRORE","OK")))</f>
        <v> </v>
      </c>
      <c r="J7" s="345" t="str">
        <f aca="true" t="shared" si="4" ref="J7:J13">IF(OR(F7="ERRORE",I7="ERRORE"),"ERRORE","OK")</f>
        <v>OK</v>
      </c>
    </row>
    <row r="8" spans="1:10" ht="12.75">
      <c r="A8" s="124" t="str">
        <f>'t1'!A8</f>
        <v>AVVOCATO IV CLASSE</v>
      </c>
      <c r="B8" s="301" t="str">
        <f>'t1'!B8</f>
        <v>0D0380</v>
      </c>
      <c r="C8" s="325">
        <f>'t13'!L8</f>
        <v>0</v>
      </c>
      <c r="D8" s="325">
        <f>'t13'!I8</f>
        <v>0</v>
      </c>
      <c r="E8" s="327" t="str">
        <f t="shared" si="0"/>
        <v> </v>
      </c>
      <c r="F8" s="306" t="str">
        <f t="shared" si="1"/>
        <v> </v>
      </c>
      <c r="G8" s="325">
        <f>'t13'!J8</f>
        <v>0</v>
      </c>
      <c r="H8" s="327" t="str">
        <f t="shared" si="2"/>
        <v> </v>
      </c>
      <c r="I8" s="306" t="str">
        <f t="shared" si="3"/>
        <v> </v>
      </c>
      <c r="J8" s="345" t="str">
        <f t="shared" si="4"/>
        <v>OK</v>
      </c>
    </row>
    <row r="9" spans="1:10" ht="12.75">
      <c r="A9" s="124" t="str">
        <f>'t1'!A9</f>
        <v>AVVOCATO III CLASSE</v>
      </c>
      <c r="B9" s="301" t="str">
        <f>'t1'!B9</f>
        <v>0D0379</v>
      </c>
      <c r="C9" s="325">
        <f>'t13'!L9</f>
        <v>0</v>
      </c>
      <c r="D9" s="325">
        <f>'t13'!I9</f>
        <v>0</v>
      </c>
      <c r="E9" s="327" t="str">
        <f t="shared" si="0"/>
        <v> </v>
      </c>
      <c r="F9" s="306" t="str">
        <f t="shared" si="1"/>
        <v> </v>
      </c>
      <c r="G9" s="325">
        <f>'t13'!J9</f>
        <v>0</v>
      </c>
      <c r="H9" s="327" t="str">
        <f t="shared" si="2"/>
        <v> </v>
      </c>
      <c r="I9" s="306" t="str">
        <f t="shared" si="3"/>
        <v> </v>
      </c>
      <c r="J9" s="345" t="str">
        <f t="shared" si="4"/>
        <v>OK</v>
      </c>
    </row>
    <row r="10" spans="1:10" ht="12.75">
      <c r="A10" s="124" t="str">
        <f>'t1'!A10</f>
        <v>AVVOCATO II CLASSE ED EQUIP.</v>
      </c>
      <c r="B10" s="301" t="str">
        <f>'t1'!B10</f>
        <v>0D0A2E</v>
      </c>
      <c r="C10" s="325">
        <f>'t13'!L10</f>
        <v>0</v>
      </c>
      <c r="D10" s="325">
        <f>'t13'!I10</f>
        <v>0</v>
      </c>
      <c r="E10" s="327" t="str">
        <f t="shared" si="0"/>
        <v> </v>
      </c>
      <c r="F10" s="306" t="str">
        <f t="shared" si="1"/>
        <v> </v>
      </c>
      <c r="G10" s="325">
        <f>'t13'!J10</f>
        <v>0</v>
      </c>
      <c r="H10" s="327" t="str">
        <f t="shared" si="2"/>
        <v> </v>
      </c>
      <c r="I10" s="306" t="str">
        <f t="shared" si="3"/>
        <v> </v>
      </c>
      <c r="J10" s="345" t="str">
        <f t="shared" si="4"/>
        <v>OK</v>
      </c>
    </row>
    <row r="11" spans="1:10" ht="12.75">
      <c r="A11" s="124" t="str">
        <f>'t1'!A11</f>
        <v>AVVOCATO I CLASSE ED EQUIP.</v>
      </c>
      <c r="B11" s="301" t="str">
        <f>'t1'!B11</f>
        <v>0D0A1E</v>
      </c>
      <c r="C11" s="325">
        <f>'t13'!L11</f>
        <v>0</v>
      </c>
      <c r="D11" s="325">
        <f>'t13'!I11</f>
        <v>0</v>
      </c>
      <c r="E11" s="327" t="str">
        <f t="shared" si="0"/>
        <v> </v>
      </c>
      <c r="F11" s="306" t="str">
        <f t="shared" si="1"/>
        <v> </v>
      </c>
      <c r="G11" s="325">
        <f>'t13'!J11</f>
        <v>0</v>
      </c>
      <c r="H11" s="327" t="str">
        <f t="shared" si="2"/>
        <v> </v>
      </c>
      <c r="I11" s="306" t="str">
        <f t="shared" si="3"/>
        <v> </v>
      </c>
      <c r="J11" s="345" t="str">
        <f t="shared" si="4"/>
        <v>OK</v>
      </c>
    </row>
    <row r="12" spans="1:10" ht="12.75">
      <c r="A12" s="124" t="str">
        <f>'t1'!A12</f>
        <v>PROCURATORE II CLASSE</v>
      </c>
      <c r="B12" s="301" t="str">
        <f>'t1'!B12</f>
        <v>0D0383</v>
      </c>
      <c r="C12" s="325">
        <f>'t13'!L12</f>
        <v>0</v>
      </c>
      <c r="D12" s="325">
        <f>'t13'!I12</f>
        <v>0</v>
      </c>
      <c r="E12" s="327" t="str">
        <f t="shared" si="0"/>
        <v> </v>
      </c>
      <c r="F12" s="306" t="str">
        <f t="shared" si="1"/>
        <v> </v>
      </c>
      <c r="G12" s="325">
        <f>'t13'!J12</f>
        <v>0</v>
      </c>
      <c r="H12" s="327" t="str">
        <f t="shared" si="2"/>
        <v> </v>
      </c>
      <c r="I12" s="306" t="str">
        <f t="shared" si="3"/>
        <v> </v>
      </c>
      <c r="J12" s="345" t="str">
        <f t="shared" si="4"/>
        <v>OK</v>
      </c>
    </row>
    <row r="13" spans="1:10" ht="12.75">
      <c r="A13" s="124" t="str">
        <f>'t1'!A13</f>
        <v>PROCURATORE I CLASSE</v>
      </c>
      <c r="B13" s="301" t="str">
        <f>'t1'!B13</f>
        <v>0D0382</v>
      </c>
      <c r="C13" s="325">
        <f>'t13'!L13</f>
        <v>0</v>
      </c>
      <c r="D13" s="325">
        <f>'t13'!I13</f>
        <v>0</v>
      </c>
      <c r="E13" s="327" t="str">
        <f t="shared" si="0"/>
        <v> </v>
      </c>
      <c r="F13" s="306" t="str">
        <f t="shared" si="1"/>
        <v> </v>
      </c>
      <c r="G13" s="325">
        <f>'t13'!J13</f>
        <v>0</v>
      </c>
      <c r="H13" s="327" t="str">
        <f t="shared" si="2"/>
        <v> </v>
      </c>
      <c r="I13" s="306" t="str">
        <f t="shared" si="3"/>
        <v> </v>
      </c>
      <c r="J13" s="345" t="str">
        <f t="shared" si="4"/>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29.xml><?xml version="1.0" encoding="utf-8"?>
<worksheet xmlns="http://schemas.openxmlformats.org/spreadsheetml/2006/main" xmlns:r="http://schemas.openxmlformats.org/officeDocument/2006/relationships">
  <sheetPr codeName="Foglio44">
    <pageSetUpPr fitToPage="1"/>
  </sheetPr>
  <dimension ref="A1:K1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882" t="str">
        <f>'t1'!A1</f>
        <v>AVVOCATURA DI STATO - anno 2021</v>
      </c>
      <c r="B1" s="882"/>
      <c r="C1" s="882"/>
      <c r="D1" s="882"/>
      <c r="E1" s="882"/>
      <c r="F1" s="882"/>
      <c r="G1" s="882"/>
      <c r="H1" s="882"/>
      <c r="I1" s="882"/>
      <c r="K1"/>
    </row>
    <row r="2" spans="4:11" s="5" customFormat="1" ht="12.75" customHeight="1">
      <c r="D2" s="965"/>
      <c r="E2" s="965"/>
      <c r="F2" s="965"/>
      <c r="G2" s="965"/>
      <c r="H2" s="536"/>
      <c r="I2" s="3"/>
      <c r="K2"/>
    </row>
    <row r="3" spans="1:9" s="5" customFormat="1" ht="43.5" customHeight="1">
      <c r="A3" s="1016" t="s">
        <v>498</v>
      </c>
      <c r="B3" s="1016"/>
      <c r="C3" s="1016"/>
      <c r="D3" s="1016"/>
      <c r="E3" s="1016"/>
      <c r="F3" s="1016"/>
      <c r="G3" s="1016"/>
      <c r="H3" s="1016"/>
      <c r="I3" s="1016"/>
    </row>
    <row r="4" spans="1:9" ht="60.75">
      <c r="A4" s="537" t="s">
        <v>209</v>
      </c>
      <c r="B4" s="538" t="s">
        <v>171</v>
      </c>
      <c r="C4" s="540" t="s">
        <v>36</v>
      </c>
      <c r="D4" s="540" t="s">
        <v>499</v>
      </c>
      <c r="E4" s="540" t="s">
        <v>500</v>
      </c>
      <c r="F4" s="540" t="s">
        <v>38</v>
      </c>
      <c r="G4" s="540" t="s">
        <v>501</v>
      </c>
      <c r="H4" s="540" t="s">
        <v>386</v>
      </c>
      <c r="I4" s="540" t="s">
        <v>371</v>
      </c>
    </row>
    <row r="5" spans="1:9" s="185" customFormat="1" ht="40.5" hidden="1">
      <c r="A5" s="166"/>
      <c r="B5" s="179"/>
      <c r="C5" s="179" t="s">
        <v>173</v>
      </c>
      <c r="D5" s="183"/>
      <c r="E5" s="183"/>
      <c r="F5" s="183" t="s">
        <v>175</v>
      </c>
      <c r="G5" s="183"/>
      <c r="H5" s="583" t="s">
        <v>390</v>
      </c>
      <c r="I5" s="585"/>
    </row>
    <row r="6" spans="1:9" s="106" customFormat="1" ht="12.75">
      <c r="A6" s="124" t="str">
        <f>'t1'!A6</f>
        <v>AVVOCATO GENERALE</v>
      </c>
      <c r="B6" s="301" t="str">
        <f>'t1'!B6</f>
        <v>0D0381</v>
      </c>
      <c r="C6" s="784">
        <f>'t11'!W8+'t11'!X8</f>
        <v>0</v>
      </c>
      <c r="D6" s="784">
        <f>(C6-'t11'!S8-'t11'!T8-'t11'!U8-'t11'!V8)</f>
        <v>0</v>
      </c>
      <c r="E6" s="790">
        <f>'t12'!C6/12</f>
        <v>0</v>
      </c>
      <c r="F6" s="784">
        <f>'t3'!K6+'t3'!L6+'t3'!M6+'t3'!N6+'t3'!O6+'t3'!P6</f>
        <v>0</v>
      </c>
      <c r="G6" s="345" t="str">
        <f aca="true" t="shared" si="0" ref="G6:G13">IF(H6="OK","OK","ERRORE")</f>
        <v>OK</v>
      </c>
      <c r="H6" s="345" t="str">
        <f aca="true" t="shared" si="1" ref="H6:H13">IF(((E6+F6)*273)&lt;(D6),"KO","OK")</f>
        <v>OK</v>
      </c>
      <c r="I6" s="586">
        <f>IF(H6="KO",($H$5&amp;(('t12'!C6/12*273)+(('t3'!K6+'t3'!L6+'t3'!M6+'t3'!N6+'t3'!O6+'t3'!P6)*273))&amp;")"),"")</f>
      </c>
    </row>
    <row r="7" spans="1:9" ht="12.75">
      <c r="A7" s="124" t="str">
        <f>'t1'!A7</f>
        <v>AVVOCATO GENERALE AGGIUNTO</v>
      </c>
      <c r="B7" s="301" t="str">
        <f>'t1'!B7</f>
        <v>0D0845</v>
      </c>
      <c r="C7" s="784">
        <f>'t11'!W9+'t11'!X9</f>
        <v>0</v>
      </c>
      <c r="D7" s="784">
        <f>(C7-'t11'!S9-'t11'!T9-'t11'!U9-'t11'!V9)</f>
        <v>0</v>
      </c>
      <c r="E7" s="790">
        <f>'t12'!C7/12</f>
        <v>0</v>
      </c>
      <c r="F7" s="784">
        <f>'t3'!K7+'t3'!L7+'t3'!M7+'t3'!N7+'t3'!O7+'t3'!P7</f>
        <v>0</v>
      </c>
      <c r="G7" s="345" t="str">
        <f t="shared" si="0"/>
        <v>OK</v>
      </c>
      <c r="H7" s="345" t="str">
        <f t="shared" si="1"/>
        <v>OK</v>
      </c>
      <c r="I7" s="586">
        <f>IF(H7="KO",($H$5&amp;(('t12'!C7/12*273)+(('t3'!K7+'t3'!L7+'t3'!M7+'t3'!N7+'t3'!O7+'t3'!P7)*273))&amp;")"),"")</f>
      </c>
    </row>
    <row r="8" spans="1:9" ht="12.75">
      <c r="A8" s="124" t="str">
        <f>'t1'!A8</f>
        <v>AVVOCATO IV CLASSE</v>
      </c>
      <c r="B8" s="301" t="str">
        <f>'t1'!B8</f>
        <v>0D0380</v>
      </c>
      <c r="C8" s="784">
        <f>'t11'!W10+'t11'!X10</f>
        <v>0</v>
      </c>
      <c r="D8" s="784">
        <f>(C8-'t11'!S10-'t11'!T10-'t11'!U10-'t11'!V10)</f>
        <v>0</v>
      </c>
      <c r="E8" s="790">
        <f>'t12'!C8/12</f>
        <v>0</v>
      </c>
      <c r="F8" s="784">
        <f>'t3'!K8+'t3'!L8+'t3'!M8+'t3'!N8+'t3'!O8+'t3'!P8</f>
        <v>0</v>
      </c>
      <c r="G8" s="345" t="str">
        <f t="shared" si="0"/>
        <v>OK</v>
      </c>
      <c r="H8" s="345" t="str">
        <f t="shared" si="1"/>
        <v>OK</v>
      </c>
      <c r="I8" s="586">
        <f>IF(H8="KO",($H$5&amp;(('t12'!C8/12*273)+(('t3'!K8+'t3'!L8+'t3'!M8+'t3'!N8+'t3'!O8+'t3'!P8)*273))&amp;")"),"")</f>
      </c>
    </row>
    <row r="9" spans="1:9" ht="12.75">
      <c r="A9" s="124" t="str">
        <f>'t1'!A9</f>
        <v>AVVOCATO III CLASSE</v>
      </c>
      <c r="B9" s="301" t="str">
        <f>'t1'!B9</f>
        <v>0D0379</v>
      </c>
      <c r="C9" s="784">
        <f>'t11'!W11+'t11'!X11</f>
        <v>0</v>
      </c>
      <c r="D9" s="784">
        <f>(C9-'t11'!S11-'t11'!T11-'t11'!U11-'t11'!V11)</f>
        <v>0</v>
      </c>
      <c r="E9" s="790">
        <f>'t12'!C9/12</f>
        <v>0</v>
      </c>
      <c r="F9" s="784">
        <f>'t3'!K9+'t3'!L9+'t3'!M9+'t3'!N9+'t3'!O9+'t3'!P9</f>
        <v>0</v>
      </c>
      <c r="G9" s="345" t="str">
        <f t="shared" si="0"/>
        <v>OK</v>
      </c>
      <c r="H9" s="345" t="str">
        <f t="shared" si="1"/>
        <v>OK</v>
      </c>
      <c r="I9" s="586">
        <f>IF(H9="KO",($H$5&amp;(('t12'!C9/12*273)+(('t3'!K9+'t3'!L9+'t3'!M9+'t3'!N9+'t3'!O9+'t3'!P9)*273))&amp;")"),"")</f>
      </c>
    </row>
    <row r="10" spans="1:9" ht="12.75">
      <c r="A10" s="124" t="str">
        <f>'t1'!A10</f>
        <v>AVVOCATO II CLASSE ED EQUIP.</v>
      </c>
      <c r="B10" s="301" t="str">
        <f>'t1'!B10</f>
        <v>0D0A2E</v>
      </c>
      <c r="C10" s="784">
        <f>'t11'!W12+'t11'!X12</f>
        <v>0</v>
      </c>
      <c r="D10" s="784">
        <f>(C10-'t11'!S12-'t11'!T12-'t11'!U12-'t11'!V12)</f>
        <v>0</v>
      </c>
      <c r="E10" s="790">
        <f>'t12'!C10/12</f>
        <v>0</v>
      </c>
      <c r="F10" s="784">
        <f>'t3'!K10+'t3'!L10+'t3'!M10+'t3'!N10+'t3'!O10+'t3'!P10</f>
        <v>0</v>
      </c>
      <c r="G10" s="345" t="str">
        <f t="shared" si="0"/>
        <v>OK</v>
      </c>
      <c r="H10" s="345" t="str">
        <f t="shared" si="1"/>
        <v>OK</v>
      </c>
      <c r="I10" s="586">
        <f>IF(H10="KO",($H$5&amp;(('t12'!C10/12*273)+(('t3'!K10+'t3'!L10+'t3'!M10+'t3'!N10+'t3'!O10+'t3'!P10)*273))&amp;")"),"")</f>
      </c>
    </row>
    <row r="11" spans="1:9" ht="12.75">
      <c r="A11" s="124" t="str">
        <f>'t1'!A11</f>
        <v>AVVOCATO I CLASSE ED EQUIP.</v>
      </c>
      <c r="B11" s="301" t="str">
        <f>'t1'!B11</f>
        <v>0D0A1E</v>
      </c>
      <c r="C11" s="784">
        <f>'t11'!W13+'t11'!X13</f>
        <v>0</v>
      </c>
      <c r="D11" s="784">
        <f>(C11-'t11'!S13-'t11'!T13-'t11'!U13-'t11'!V13)</f>
        <v>0</v>
      </c>
      <c r="E11" s="790">
        <f>'t12'!C11/12</f>
        <v>0</v>
      </c>
      <c r="F11" s="784">
        <f>'t3'!K11+'t3'!L11+'t3'!M11+'t3'!N11+'t3'!O11+'t3'!P11</f>
        <v>0</v>
      </c>
      <c r="G11" s="345" t="str">
        <f t="shared" si="0"/>
        <v>OK</v>
      </c>
      <c r="H11" s="345" t="str">
        <f t="shared" si="1"/>
        <v>OK</v>
      </c>
      <c r="I11" s="586">
        <f>IF(H11="KO",($H$5&amp;(('t12'!C11/12*273)+(('t3'!K11+'t3'!L11+'t3'!M11+'t3'!N11+'t3'!O11+'t3'!P11)*273))&amp;")"),"")</f>
      </c>
    </row>
    <row r="12" spans="1:9" ht="12.75">
      <c r="A12" s="124" t="str">
        <f>'t1'!A12</f>
        <v>PROCURATORE II CLASSE</v>
      </c>
      <c r="B12" s="301" t="str">
        <f>'t1'!B12</f>
        <v>0D0383</v>
      </c>
      <c r="C12" s="784">
        <f>'t11'!W14+'t11'!X14</f>
        <v>0</v>
      </c>
      <c r="D12" s="784">
        <f>(C12-'t11'!S14-'t11'!T14-'t11'!U14-'t11'!V14)</f>
        <v>0</v>
      </c>
      <c r="E12" s="790">
        <f>'t12'!C12/12</f>
        <v>0</v>
      </c>
      <c r="F12" s="784">
        <f>'t3'!K12+'t3'!L12+'t3'!M12+'t3'!N12+'t3'!O12+'t3'!P12</f>
        <v>0</v>
      </c>
      <c r="G12" s="345" t="str">
        <f t="shared" si="0"/>
        <v>OK</v>
      </c>
      <c r="H12" s="345" t="str">
        <f t="shared" si="1"/>
        <v>OK</v>
      </c>
      <c r="I12" s="586">
        <f>IF(H12="KO",($H$5&amp;(('t12'!C12/12*273)+(('t3'!K12+'t3'!L12+'t3'!M12+'t3'!N12+'t3'!O12+'t3'!P12)*273))&amp;")"),"")</f>
      </c>
    </row>
    <row r="13" spans="1:9" ht="12.75">
      <c r="A13" s="124" t="str">
        <f>'t1'!A13</f>
        <v>PROCURATORE I CLASSE</v>
      </c>
      <c r="B13" s="301" t="str">
        <f>'t1'!B13</f>
        <v>0D0382</v>
      </c>
      <c r="C13" s="784">
        <f>'t11'!W15+'t11'!X15</f>
        <v>0</v>
      </c>
      <c r="D13" s="784">
        <f>(C13-'t11'!S15-'t11'!T15-'t11'!U15-'t11'!V15)</f>
        <v>0</v>
      </c>
      <c r="E13" s="790">
        <f>'t12'!C13/12</f>
        <v>0</v>
      </c>
      <c r="F13" s="784">
        <f>'t3'!K13+'t3'!L13+'t3'!M13+'t3'!N13+'t3'!O13+'t3'!P13</f>
        <v>0</v>
      </c>
      <c r="G13" s="345" t="str">
        <f t="shared" si="0"/>
        <v>OK</v>
      </c>
      <c r="H13" s="345" t="str">
        <f t="shared" si="1"/>
        <v>OK</v>
      </c>
      <c r="I13" s="586">
        <f>IF(H13="KO",($H$5&amp;(('t12'!C13/12*273)+(('t3'!K13+'t3'!L13+'t3'!M13+'t3'!N13+'t3'!O13+'t3'!P13)*273))&amp;")"),"")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codeName="Foglio10"/>
  <dimension ref="A1:V19"/>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38.5" style="85" customWidth="1"/>
    <col min="2" max="2" width="9" style="94" customWidth="1"/>
    <col min="3" max="14" width="11.5" style="85" customWidth="1"/>
    <col min="15" max="16" width="11.5" style="0" customWidth="1"/>
    <col min="17" max="17" width="9.16015625" style="85" hidden="1" customWidth="1"/>
    <col min="18" max="18" width="9.16015625" style="85" customWidth="1"/>
    <col min="19" max="19" width="6.66015625" style="85" customWidth="1"/>
    <col min="20" max="23" width="10.83203125" style="85" customWidth="1"/>
    <col min="24" max="16384" width="10.66015625" style="85" customWidth="1"/>
  </cols>
  <sheetData>
    <row r="1" spans="1:17" s="5" customFormat="1" ht="43.5" customHeight="1">
      <c r="A1" s="882" t="str">
        <f>'t1'!A1</f>
        <v>AVVOCATURA DI STATO - anno 2021</v>
      </c>
      <c r="B1" s="882"/>
      <c r="C1" s="882"/>
      <c r="D1" s="882"/>
      <c r="E1" s="882"/>
      <c r="F1" s="882"/>
      <c r="G1" s="882"/>
      <c r="H1" s="882"/>
      <c r="I1" s="882"/>
      <c r="J1" s="882"/>
      <c r="K1" s="882"/>
      <c r="L1" s="882"/>
      <c r="M1" s="3"/>
      <c r="N1" s="295"/>
      <c r="O1"/>
      <c r="P1"/>
      <c r="Q1"/>
    </row>
    <row r="2" spans="1:17" s="5" customFormat="1" ht="30" customHeight="1" thickBot="1">
      <c r="A2" s="294"/>
      <c r="B2" s="2"/>
      <c r="C2" s="3"/>
      <c r="D2" s="3"/>
      <c r="E2" s="3"/>
      <c r="F2" s="883"/>
      <c r="G2" s="883"/>
      <c r="H2" s="883"/>
      <c r="I2" s="883"/>
      <c r="J2" s="883"/>
      <c r="K2" s="883"/>
      <c r="L2" s="883"/>
      <c r="M2" s="883"/>
      <c r="N2" s="883"/>
      <c r="O2"/>
      <c r="P2"/>
      <c r="Q2"/>
    </row>
    <row r="3" spans="1:18" ht="18.75" customHeight="1" thickBot="1">
      <c r="A3" s="86"/>
      <c r="B3" s="87"/>
      <c r="C3" s="127" t="s">
        <v>118</v>
      </c>
      <c r="D3" s="128"/>
      <c r="E3" s="128"/>
      <c r="F3" s="129"/>
      <c r="G3" s="128"/>
      <c r="H3" s="128"/>
      <c r="I3" s="128"/>
      <c r="J3" s="128"/>
      <c r="K3" s="887" t="s">
        <v>119</v>
      </c>
      <c r="L3" s="888"/>
      <c r="M3" s="888"/>
      <c r="N3" s="888"/>
      <c r="O3" s="888"/>
      <c r="P3" s="889"/>
      <c r="Q3"/>
      <c r="R3"/>
    </row>
    <row r="4" spans="1:18" ht="21.75" customHeight="1" thickTop="1">
      <c r="A4" s="265" t="s">
        <v>116</v>
      </c>
      <c r="B4" s="266" t="s">
        <v>55</v>
      </c>
      <c r="C4" s="130" t="s">
        <v>163</v>
      </c>
      <c r="D4" s="131"/>
      <c r="E4" s="884" t="s">
        <v>84</v>
      </c>
      <c r="F4" s="885"/>
      <c r="G4" s="886" t="s">
        <v>47</v>
      </c>
      <c r="H4" s="886"/>
      <c r="I4" s="890" t="s">
        <v>506</v>
      </c>
      <c r="J4" s="891"/>
      <c r="K4" s="130" t="s">
        <v>163</v>
      </c>
      <c r="L4" s="132"/>
      <c r="M4" s="133" t="s">
        <v>84</v>
      </c>
      <c r="N4" s="132"/>
      <c r="O4" s="133" t="s">
        <v>47</v>
      </c>
      <c r="P4" s="132"/>
      <c r="Q4"/>
      <c r="R4"/>
    </row>
    <row r="5" spans="1:18" ht="10.5" thickBot="1">
      <c r="A5" s="739" t="s">
        <v>478</v>
      </c>
      <c r="B5" s="267"/>
      <c r="C5" s="134" t="s">
        <v>56</v>
      </c>
      <c r="D5" s="135" t="s">
        <v>57</v>
      </c>
      <c r="E5" s="136" t="s">
        <v>56</v>
      </c>
      <c r="F5" s="135" t="s">
        <v>57</v>
      </c>
      <c r="G5" s="136" t="s">
        <v>56</v>
      </c>
      <c r="H5" s="135" t="s">
        <v>57</v>
      </c>
      <c r="I5" s="136" t="s">
        <v>56</v>
      </c>
      <c r="J5" s="135" t="s">
        <v>57</v>
      </c>
      <c r="K5" s="137" t="s">
        <v>56</v>
      </c>
      <c r="L5" s="138" t="s">
        <v>57</v>
      </c>
      <c r="M5" s="139" t="s">
        <v>56</v>
      </c>
      <c r="N5" s="138" t="s">
        <v>57</v>
      </c>
      <c r="O5" s="139" t="s">
        <v>56</v>
      </c>
      <c r="P5" s="138" t="s">
        <v>57</v>
      </c>
      <c r="Q5"/>
      <c r="R5"/>
    </row>
    <row r="6" spans="1:18" ht="12.75" customHeight="1" thickTop="1">
      <c r="A6" s="20" t="str">
        <f>'t1'!A6</f>
        <v>AVVOCATO GENERALE</v>
      </c>
      <c r="B6" s="268" t="str">
        <f>'t1'!B6</f>
        <v>0D0381</v>
      </c>
      <c r="C6" s="211"/>
      <c r="D6" s="212"/>
      <c r="E6" s="213"/>
      <c r="F6" s="494"/>
      <c r="G6" s="496"/>
      <c r="H6" s="212"/>
      <c r="I6" s="496"/>
      <c r="J6" s="212"/>
      <c r="K6" s="214"/>
      <c r="L6" s="215"/>
      <c r="M6" s="216"/>
      <c r="N6" s="531"/>
      <c r="O6" s="532"/>
      <c r="P6" s="525"/>
      <c r="Q6">
        <f>'t1'!M6</f>
        <v>0</v>
      </c>
      <c r="R6"/>
    </row>
    <row r="7" spans="1:18" ht="12.75" customHeight="1">
      <c r="A7" s="19" t="str">
        <f>'t1'!A7</f>
        <v>AVVOCATO GENERALE AGGIUNTO</v>
      </c>
      <c r="B7" s="269" t="str">
        <f>'t1'!B7</f>
        <v>0D0845</v>
      </c>
      <c r="C7" s="211"/>
      <c r="D7" s="212"/>
      <c r="E7" s="213"/>
      <c r="F7" s="494"/>
      <c r="G7" s="220"/>
      <c r="H7" s="212"/>
      <c r="I7" s="220"/>
      <c r="J7" s="212"/>
      <c r="K7" s="214"/>
      <c r="L7" s="215"/>
      <c r="M7" s="216"/>
      <c r="N7" s="533"/>
      <c r="O7" s="534"/>
      <c r="P7" s="526"/>
      <c r="Q7">
        <f>'t1'!M7</f>
        <v>0</v>
      </c>
      <c r="R7"/>
    </row>
    <row r="8" spans="1:18" ht="12.75" customHeight="1">
      <c r="A8" s="19" t="str">
        <f>'t1'!A8</f>
        <v>AVVOCATO IV CLASSE</v>
      </c>
      <c r="B8" s="269" t="str">
        <f>'t1'!B8</f>
        <v>0D0380</v>
      </c>
      <c r="C8" s="211"/>
      <c r="D8" s="212"/>
      <c r="E8" s="213"/>
      <c r="F8" s="494"/>
      <c r="G8" s="220"/>
      <c r="H8" s="212"/>
      <c r="I8" s="220"/>
      <c r="J8" s="212"/>
      <c r="K8" s="214"/>
      <c r="L8" s="215"/>
      <c r="M8" s="216"/>
      <c r="N8" s="533"/>
      <c r="O8" s="534"/>
      <c r="P8" s="526"/>
      <c r="Q8">
        <f>'t1'!M8</f>
        <v>0</v>
      </c>
      <c r="R8"/>
    </row>
    <row r="9" spans="1:18" ht="12.75" customHeight="1">
      <c r="A9" s="19" t="str">
        <f>'t1'!A9</f>
        <v>AVVOCATO III CLASSE</v>
      </c>
      <c r="B9" s="269" t="str">
        <f>'t1'!B9</f>
        <v>0D0379</v>
      </c>
      <c r="C9" s="211"/>
      <c r="D9" s="212"/>
      <c r="E9" s="213"/>
      <c r="F9" s="494"/>
      <c r="G9" s="220"/>
      <c r="H9" s="212"/>
      <c r="I9" s="220"/>
      <c r="J9" s="212"/>
      <c r="K9" s="214"/>
      <c r="L9" s="215"/>
      <c r="M9" s="216"/>
      <c r="N9" s="533"/>
      <c r="O9" s="534"/>
      <c r="P9" s="526"/>
      <c r="Q9">
        <f>'t1'!M9</f>
        <v>0</v>
      </c>
      <c r="R9"/>
    </row>
    <row r="10" spans="1:18" ht="12.75" customHeight="1">
      <c r="A10" s="19" t="str">
        <f>'t1'!A10</f>
        <v>AVVOCATO II CLASSE ED EQUIP.</v>
      </c>
      <c r="B10" s="269" t="str">
        <f>'t1'!B10</f>
        <v>0D0A2E</v>
      </c>
      <c r="C10" s="211"/>
      <c r="D10" s="212"/>
      <c r="E10" s="213"/>
      <c r="F10" s="494"/>
      <c r="G10" s="220"/>
      <c r="H10" s="212"/>
      <c r="I10" s="220"/>
      <c r="J10" s="212"/>
      <c r="K10" s="214"/>
      <c r="L10" s="215"/>
      <c r="M10" s="216"/>
      <c r="N10" s="533"/>
      <c r="O10" s="534"/>
      <c r="P10" s="526"/>
      <c r="Q10">
        <f>'t1'!M10</f>
        <v>0</v>
      </c>
      <c r="R10"/>
    </row>
    <row r="11" spans="1:18" ht="12.75" customHeight="1">
      <c r="A11" s="19" t="str">
        <f>'t1'!A11</f>
        <v>AVVOCATO I CLASSE ED EQUIP.</v>
      </c>
      <c r="B11" s="269" t="str">
        <f>'t1'!B11</f>
        <v>0D0A1E</v>
      </c>
      <c r="C11" s="211"/>
      <c r="D11" s="212"/>
      <c r="E11" s="213"/>
      <c r="F11" s="494"/>
      <c r="G11" s="220"/>
      <c r="H11" s="212"/>
      <c r="I11" s="220"/>
      <c r="J11" s="212"/>
      <c r="K11" s="214"/>
      <c r="L11" s="215"/>
      <c r="M11" s="216"/>
      <c r="N11" s="533"/>
      <c r="O11" s="534"/>
      <c r="P11" s="526"/>
      <c r="Q11">
        <f>'t1'!M11</f>
        <v>0</v>
      </c>
      <c r="R11"/>
    </row>
    <row r="12" spans="1:18" ht="12.75" customHeight="1">
      <c r="A12" s="19" t="str">
        <f>'t1'!A12</f>
        <v>PROCURATORE II CLASSE</v>
      </c>
      <c r="B12" s="269" t="str">
        <f>'t1'!B12</f>
        <v>0D0383</v>
      </c>
      <c r="C12" s="211"/>
      <c r="D12" s="212"/>
      <c r="E12" s="213"/>
      <c r="F12" s="494"/>
      <c r="G12" s="220"/>
      <c r="H12" s="212"/>
      <c r="I12" s="220"/>
      <c r="J12" s="212"/>
      <c r="K12" s="214"/>
      <c r="L12" s="215"/>
      <c r="M12" s="216"/>
      <c r="N12" s="533"/>
      <c r="O12" s="534"/>
      <c r="P12" s="526"/>
      <c r="Q12">
        <f>'t1'!M12</f>
        <v>0</v>
      </c>
      <c r="R12"/>
    </row>
    <row r="13" spans="1:18" ht="12.75" customHeight="1" thickBot="1">
      <c r="A13" s="19" t="str">
        <f>'t1'!A13</f>
        <v>PROCURATORE I CLASSE</v>
      </c>
      <c r="B13" s="269" t="str">
        <f>'t1'!B13</f>
        <v>0D0382</v>
      </c>
      <c r="C13" s="211"/>
      <c r="D13" s="212"/>
      <c r="E13" s="213"/>
      <c r="F13" s="494"/>
      <c r="G13" s="220"/>
      <c r="H13" s="212"/>
      <c r="I13" s="220"/>
      <c r="J13" s="212"/>
      <c r="K13" s="214"/>
      <c r="L13" s="215"/>
      <c r="M13" s="216"/>
      <c r="N13" s="533"/>
      <c r="O13" s="534"/>
      <c r="P13" s="526"/>
      <c r="Q13">
        <f>'t1'!M13</f>
        <v>0</v>
      </c>
      <c r="R13"/>
    </row>
    <row r="14" spans="1:18" ht="15.75" customHeight="1" thickBot="1" thickTop="1">
      <c r="A14" s="92" t="s">
        <v>58</v>
      </c>
      <c r="B14" s="152"/>
      <c r="C14" s="412">
        <f aca="true" t="shared" si="0" ref="C14:P14">SUM(C6:C13)</f>
        <v>0</v>
      </c>
      <c r="D14" s="413">
        <f t="shared" si="0"/>
        <v>0</v>
      </c>
      <c r="E14" s="414">
        <f t="shared" si="0"/>
        <v>0</v>
      </c>
      <c r="F14" s="495">
        <f t="shared" si="0"/>
        <v>0</v>
      </c>
      <c r="G14" s="414">
        <f t="shared" si="0"/>
        <v>0</v>
      </c>
      <c r="H14" s="493">
        <f t="shared" si="0"/>
        <v>0</v>
      </c>
      <c r="I14" s="414">
        <f t="shared" si="0"/>
        <v>0</v>
      </c>
      <c r="J14" s="493">
        <f t="shared" si="0"/>
        <v>0</v>
      </c>
      <c r="K14" s="412">
        <f t="shared" si="0"/>
        <v>0</v>
      </c>
      <c r="L14" s="413">
        <f t="shared" si="0"/>
        <v>0</v>
      </c>
      <c r="M14" s="414">
        <f t="shared" si="0"/>
        <v>0</v>
      </c>
      <c r="N14" s="413">
        <f t="shared" si="0"/>
        <v>0</v>
      </c>
      <c r="O14" s="535">
        <f t="shared" si="0"/>
        <v>0</v>
      </c>
      <c r="P14" s="509">
        <f t="shared" si="0"/>
        <v>0</v>
      </c>
      <c r="Q14"/>
      <c r="R14"/>
    </row>
    <row r="15" spans="1:14" ht="9.75">
      <c r="A15" s="21"/>
      <c r="B15" s="153"/>
      <c r="C15" s="5"/>
      <c r="D15" s="5"/>
      <c r="E15" s="5"/>
      <c r="F15" s="5"/>
      <c r="G15" s="5"/>
      <c r="H15" s="5"/>
      <c r="I15" s="5"/>
      <c r="J15" s="5"/>
      <c r="K15" s="5"/>
      <c r="L15" s="5"/>
      <c r="M15" s="5"/>
      <c r="N15" s="5"/>
    </row>
    <row r="16" spans="1:22" ht="9.75">
      <c r="A16" s="21"/>
      <c r="B16" s="153"/>
      <c r="C16" s="5"/>
      <c r="D16" s="155"/>
      <c r="E16" s="5"/>
      <c r="F16" s="5"/>
      <c r="G16" s="5"/>
      <c r="H16" s="5"/>
      <c r="I16" s="5"/>
      <c r="J16" s="5"/>
      <c r="K16" s="5"/>
      <c r="L16" s="5"/>
      <c r="M16" s="5"/>
      <c r="N16" s="5"/>
      <c r="Q16" s="5"/>
      <c r="R16" s="5"/>
      <c r="S16" s="5"/>
      <c r="T16" s="5"/>
      <c r="U16" s="5"/>
      <c r="V16" s="5"/>
    </row>
    <row r="17" spans="1:2" s="5" customFormat="1" ht="9.75">
      <c r="A17" s="21"/>
      <c r="B17" s="7"/>
    </row>
    <row r="18" spans="1:2" ht="9.75">
      <c r="A18" s="21" t="s">
        <v>218</v>
      </c>
      <c r="B18" s="154"/>
    </row>
    <row r="19" ht="9.75">
      <c r="A19" s="74" t="s">
        <v>120</v>
      </c>
    </row>
  </sheetData>
  <sheetProtection password="EA98" sheet="1" formatColumns="0" selectLockedCells="1"/>
  <mergeCells count="6">
    <mergeCell ref="A1:L1"/>
    <mergeCell ref="F2:N2"/>
    <mergeCell ref="E4:F4"/>
    <mergeCell ref="G4:H4"/>
    <mergeCell ref="K3:P3"/>
    <mergeCell ref="I4:J4"/>
  </mergeCells>
  <conditionalFormatting sqref="A6:J13">
    <cfRule type="expression" priority="3" dxfId="4" stopIfTrue="1">
      <formula>$Q6&gt;0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oglio11"/>
  <dimension ref="A1:M2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60.66015625" style="5" customWidth="1"/>
    <col min="2" max="2" width="9.16015625" style="7" customWidth="1"/>
    <col min="3" max="5" width="7.66015625" style="7" customWidth="1"/>
    <col min="6" max="10" width="7.66015625" style="5" customWidth="1"/>
    <col min="11" max="11" width="12" style="5" customWidth="1"/>
    <col min="12" max="34" width="3.83203125" style="5" customWidth="1"/>
    <col min="35" max="16384" width="9.33203125" style="5" customWidth="1"/>
  </cols>
  <sheetData>
    <row r="1" spans="1:11" ht="43.5" customHeight="1">
      <c r="A1" s="882" t="str">
        <f>'t1'!A1</f>
        <v>AVVOCATURA DI STATO - anno 2021</v>
      </c>
      <c r="B1" s="882"/>
      <c r="C1" s="882"/>
      <c r="D1" s="882"/>
      <c r="E1" s="882"/>
      <c r="F1" s="882"/>
      <c r="G1" s="882"/>
      <c r="H1" s="882"/>
      <c r="I1" s="882"/>
      <c r="J1" s="882"/>
      <c r="K1" s="295"/>
    </row>
    <row r="2" spans="1:11" ht="30" customHeight="1" thickBot="1">
      <c r="A2" s="1"/>
      <c r="B2" s="2"/>
      <c r="C2" s="2"/>
      <c r="D2" s="2"/>
      <c r="E2" s="2"/>
      <c r="F2" s="3"/>
      <c r="G2" s="3"/>
      <c r="H2" s="3"/>
      <c r="I2" s="3"/>
      <c r="J2" s="3"/>
      <c r="K2" s="466"/>
    </row>
    <row r="3" spans="1:11" ht="13.5" thickBot="1">
      <c r="A3" s="288"/>
      <c r="B3" s="11"/>
      <c r="C3" s="894" t="s">
        <v>54</v>
      </c>
      <c r="D3" s="894"/>
      <c r="E3" s="894"/>
      <c r="F3" s="894"/>
      <c r="G3" s="894"/>
      <c r="H3" s="894"/>
      <c r="I3" s="894"/>
      <c r="J3" s="894"/>
      <c r="K3" s="209"/>
    </row>
    <row r="4" spans="1:11" s="96" customFormat="1" ht="16.5" customHeight="1" thickTop="1">
      <c r="A4" s="291"/>
      <c r="B4" s="289"/>
      <c r="C4" s="892" t="s">
        <v>158</v>
      </c>
      <c r="D4" s="893"/>
      <c r="E4" s="893"/>
      <c r="F4" s="893"/>
      <c r="G4" s="893"/>
      <c r="H4" s="893"/>
      <c r="I4" s="893"/>
      <c r="J4" s="893"/>
      <c r="K4" s="292"/>
    </row>
    <row r="5" spans="1:11" ht="63.75" customHeight="1" thickBot="1">
      <c r="A5" s="287" t="s">
        <v>228</v>
      </c>
      <c r="B5" s="290" t="s">
        <v>229</v>
      </c>
      <c r="C5" s="230" t="str">
        <f>B6</f>
        <v>0D0381</v>
      </c>
      <c r="D5" s="231" t="str">
        <f>B7</f>
        <v>0D0845</v>
      </c>
      <c r="E5" s="231" t="str">
        <f>B8</f>
        <v>0D0380</v>
      </c>
      <c r="F5" s="231" t="str">
        <f>B9</f>
        <v>0D0379</v>
      </c>
      <c r="G5" s="231" t="str">
        <f>B10</f>
        <v>0D0A2E</v>
      </c>
      <c r="H5" s="231" t="str">
        <f>B11</f>
        <v>0D0A1E</v>
      </c>
      <c r="I5" s="231" t="str">
        <f>B12</f>
        <v>0D0383</v>
      </c>
      <c r="J5" s="231" t="str">
        <f>B13</f>
        <v>0D0382</v>
      </c>
      <c r="K5" s="293" t="s">
        <v>115</v>
      </c>
    </row>
    <row r="6" spans="1:11" ht="12" customHeight="1" thickTop="1">
      <c r="A6" s="19" t="str">
        <f>'t1'!A6</f>
        <v>AVVOCATO GENERALE</v>
      </c>
      <c r="B6" s="140" t="str">
        <f>'t1'!B6</f>
        <v>0D0381</v>
      </c>
      <c r="C6" s="232"/>
      <c r="D6" s="232"/>
      <c r="E6" s="232"/>
      <c r="F6" s="233"/>
      <c r="G6" s="233"/>
      <c r="H6" s="234"/>
      <c r="I6" s="234"/>
      <c r="J6" s="234"/>
      <c r="K6" s="415">
        <f aca="true" t="shared" si="0" ref="K6:K13">SUM(C6:J6)</f>
        <v>0</v>
      </c>
    </row>
    <row r="7" spans="1:11" ht="12" customHeight="1">
      <c r="A7" s="141" t="str">
        <f>'t1'!A7</f>
        <v>AVVOCATO GENERALE AGGIUNTO</v>
      </c>
      <c r="B7" s="210" t="str">
        <f>'t1'!B7</f>
        <v>0D0845</v>
      </c>
      <c r="C7" s="233"/>
      <c r="D7" s="233"/>
      <c r="E7" s="233"/>
      <c r="F7" s="233"/>
      <c r="G7" s="233"/>
      <c r="H7" s="234"/>
      <c r="I7" s="234"/>
      <c r="J7" s="234"/>
      <c r="K7" s="415">
        <f t="shared" si="0"/>
        <v>0</v>
      </c>
    </row>
    <row r="8" spans="1:11" ht="12" customHeight="1">
      <c r="A8" s="141" t="str">
        <f>'t1'!A8</f>
        <v>AVVOCATO IV CLASSE</v>
      </c>
      <c r="B8" s="210" t="str">
        <f>'t1'!B8</f>
        <v>0D0380</v>
      </c>
      <c r="C8" s="233"/>
      <c r="D8" s="233"/>
      <c r="E8" s="233"/>
      <c r="F8" s="233"/>
      <c r="G8" s="233"/>
      <c r="H8" s="234"/>
      <c r="I8" s="234"/>
      <c r="J8" s="234"/>
      <c r="K8" s="415">
        <f t="shared" si="0"/>
        <v>0</v>
      </c>
    </row>
    <row r="9" spans="1:11" ht="12" customHeight="1">
      <c r="A9" s="141" t="str">
        <f>'t1'!A9</f>
        <v>AVVOCATO III CLASSE</v>
      </c>
      <c r="B9" s="210" t="str">
        <f>'t1'!B9</f>
        <v>0D0379</v>
      </c>
      <c r="C9" s="233"/>
      <c r="D9" s="233"/>
      <c r="E9" s="233"/>
      <c r="F9" s="233"/>
      <c r="G9" s="233"/>
      <c r="H9" s="234"/>
      <c r="I9" s="234"/>
      <c r="J9" s="234"/>
      <c r="K9" s="415">
        <f t="shared" si="0"/>
        <v>0</v>
      </c>
    </row>
    <row r="10" spans="1:11" ht="12" customHeight="1">
      <c r="A10" s="141" t="str">
        <f>'t1'!A10</f>
        <v>AVVOCATO II CLASSE ED EQUIP.</v>
      </c>
      <c r="B10" s="210" t="str">
        <f>'t1'!B10</f>
        <v>0D0A2E</v>
      </c>
      <c r="C10" s="236"/>
      <c r="D10" s="237"/>
      <c r="E10" s="237"/>
      <c r="F10" s="233"/>
      <c r="G10" s="233"/>
      <c r="H10" s="234"/>
      <c r="I10" s="234"/>
      <c r="J10" s="234"/>
      <c r="K10" s="415">
        <f t="shared" si="0"/>
        <v>0</v>
      </c>
    </row>
    <row r="11" spans="1:11" ht="12" customHeight="1">
      <c r="A11" s="141" t="str">
        <f>'t1'!A11</f>
        <v>AVVOCATO I CLASSE ED EQUIP.</v>
      </c>
      <c r="B11" s="210" t="str">
        <f>'t1'!B11</f>
        <v>0D0A1E</v>
      </c>
      <c r="C11" s="236"/>
      <c r="D11" s="237"/>
      <c r="E11" s="237"/>
      <c r="F11" s="233"/>
      <c r="G11" s="233"/>
      <c r="H11" s="234"/>
      <c r="I11" s="234"/>
      <c r="J11" s="234"/>
      <c r="K11" s="415">
        <f t="shared" si="0"/>
        <v>0</v>
      </c>
    </row>
    <row r="12" spans="1:11" ht="12" customHeight="1">
      <c r="A12" s="141" t="str">
        <f>'t1'!A12</f>
        <v>PROCURATORE II CLASSE</v>
      </c>
      <c r="B12" s="210" t="str">
        <f>'t1'!B12</f>
        <v>0D0383</v>
      </c>
      <c r="C12" s="233"/>
      <c r="D12" s="233"/>
      <c r="E12" s="233"/>
      <c r="F12" s="233"/>
      <c r="G12" s="233"/>
      <c r="H12" s="234"/>
      <c r="I12" s="234"/>
      <c r="J12" s="234"/>
      <c r="K12" s="415">
        <f t="shared" si="0"/>
        <v>0</v>
      </c>
    </row>
    <row r="13" spans="1:11" ht="12" customHeight="1" thickBot="1">
      <c r="A13" s="141" t="str">
        <f>'t1'!A13</f>
        <v>PROCURATORE I CLASSE</v>
      </c>
      <c r="B13" s="210" t="str">
        <f>'t1'!B13</f>
        <v>0D0382</v>
      </c>
      <c r="C13" s="238"/>
      <c r="D13" s="238"/>
      <c r="E13" s="238"/>
      <c r="F13" s="238"/>
      <c r="G13" s="238"/>
      <c r="H13" s="237"/>
      <c r="I13" s="237"/>
      <c r="J13" s="237"/>
      <c r="K13" s="415">
        <f t="shared" si="0"/>
        <v>0</v>
      </c>
    </row>
    <row r="14" spans="1:11" s="98" customFormat="1" ht="17.25" customHeight="1" thickBot="1" thickTop="1">
      <c r="A14" s="207" t="s">
        <v>155</v>
      </c>
      <c r="B14" s="208"/>
      <c r="C14" s="417">
        <f aca="true" t="shared" si="1" ref="C14:K14">SUM(C6:C13)</f>
        <v>0</v>
      </c>
      <c r="D14" s="418">
        <f t="shared" si="1"/>
        <v>0</v>
      </c>
      <c r="E14" s="418">
        <f t="shared" si="1"/>
        <v>0</v>
      </c>
      <c r="F14" s="418">
        <f t="shared" si="1"/>
        <v>0</v>
      </c>
      <c r="G14" s="418">
        <f t="shared" si="1"/>
        <v>0</v>
      </c>
      <c r="H14" s="418">
        <f t="shared" si="1"/>
        <v>0</v>
      </c>
      <c r="I14" s="418">
        <f t="shared" si="1"/>
        <v>0</v>
      </c>
      <c r="J14" s="418">
        <f t="shared" si="1"/>
        <v>0</v>
      </c>
      <c r="K14" s="416">
        <f t="shared" si="1"/>
        <v>0</v>
      </c>
    </row>
    <row r="15" ht="17.25" customHeight="1">
      <c r="A15" s="21"/>
    </row>
    <row r="16" ht="9.75">
      <c r="A16" s="21"/>
    </row>
    <row r="25" ht="9.75">
      <c r="M25" s="150"/>
    </row>
  </sheetData>
  <sheetProtection password="EA98" sheet="1" formatColumns="0" selectLockedCells="1"/>
  <mergeCells count="3">
    <mergeCell ref="C4:J4"/>
    <mergeCell ref="C3:J3"/>
    <mergeCell ref="A1:J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AA18"/>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37.5" style="85" customWidth="1"/>
    <col min="2" max="2" width="8.66015625" style="94" customWidth="1"/>
    <col min="3" max="14" width="11.16015625" style="85" customWidth="1"/>
    <col min="15" max="20" width="9.33203125" style="85" customWidth="1"/>
    <col min="21" max="22" width="11.16015625" style="85" customWidth="1"/>
    <col min="23" max="23" width="6.66015625" style="85" hidden="1" customWidth="1"/>
    <col min="24" max="27" width="10.83203125" style="85" customWidth="1"/>
    <col min="28" max="16384" width="10.66015625" style="85" customWidth="1"/>
  </cols>
  <sheetData>
    <row r="1" spans="1:22" s="5" customFormat="1" ht="43.5" customHeight="1">
      <c r="A1" s="882" t="str">
        <f>'t1'!A1</f>
        <v>AVVOCATURA DI STATO - anno 2021</v>
      </c>
      <c r="B1" s="882"/>
      <c r="C1" s="882"/>
      <c r="D1" s="882"/>
      <c r="E1" s="882"/>
      <c r="F1" s="882"/>
      <c r="G1" s="882"/>
      <c r="H1" s="882"/>
      <c r="I1" s="882"/>
      <c r="J1" s="882"/>
      <c r="K1" s="882"/>
      <c r="L1" s="882"/>
      <c r="M1" s="882"/>
      <c r="N1" s="882"/>
      <c r="O1" s="882"/>
      <c r="P1" s="882"/>
      <c r="Q1" s="882"/>
      <c r="R1" s="882"/>
      <c r="S1" s="882"/>
      <c r="T1" s="882"/>
      <c r="U1"/>
      <c r="V1" s="295"/>
    </row>
    <row r="2" spans="1:22" s="5" customFormat="1" ht="30" customHeight="1" thickBot="1">
      <c r="A2" s="294"/>
      <c r="B2" s="2"/>
      <c r="C2" s="3"/>
      <c r="D2" s="3"/>
      <c r="E2" s="3"/>
      <c r="F2" s="3"/>
      <c r="G2" s="3"/>
      <c r="H2" s="3"/>
      <c r="I2" s="4"/>
      <c r="J2" s="3"/>
      <c r="K2" s="3"/>
      <c r="L2" s="3"/>
      <c r="M2" s="3"/>
      <c r="N2" s="883"/>
      <c r="O2" s="883"/>
      <c r="P2" s="883"/>
      <c r="Q2" s="883"/>
      <c r="R2" s="883"/>
      <c r="S2" s="883"/>
      <c r="T2" s="883"/>
      <c r="U2" s="883"/>
      <c r="V2" s="883"/>
    </row>
    <row r="3" spans="1:27" ht="15" customHeight="1" thickBot="1">
      <c r="A3" s="86"/>
      <c r="B3" s="87"/>
      <c r="C3" s="286" t="s">
        <v>224</v>
      </c>
      <c r="D3" s="88"/>
      <c r="E3" s="88"/>
      <c r="F3" s="88"/>
      <c r="G3" s="88"/>
      <c r="H3" s="88"/>
      <c r="I3" s="88"/>
      <c r="J3" s="88"/>
      <c r="K3" s="88"/>
      <c r="L3" s="88"/>
      <c r="M3" s="88"/>
      <c r="N3" s="88"/>
      <c r="O3" s="88"/>
      <c r="P3" s="88"/>
      <c r="Q3" s="88"/>
      <c r="R3" s="88"/>
      <c r="S3" s="88"/>
      <c r="T3" s="88"/>
      <c r="U3" s="88"/>
      <c r="V3" s="89"/>
      <c r="X3"/>
      <c r="Y3"/>
      <c r="Z3"/>
      <c r="AA3"/>
    </row>
    <row r="4" spans="1:27" ht="30" customHeight="1" thickTop="1">
      <c r="A4" s="265" t="s">
        <v>116</v>
      </c>
      <c r="B4" s="90" t="s">
        <v>55</v>
      </c>
      <c r="C4" s="895" t="s">
        <v>306</v>
      </c>
      <c r="D4" s="900"/>
      <c r="E4" s="895" t="s">
        <v>531</v>
      </c>
      <c r="F4" s="900"/>
      <c r="G4" s="895" t="s">
        <v>307</v>
      </c>
      <c r="H4" s="900"/>
      <c r="I4" s="895" t="s">
        <v>48</v>
      </c>
      <c r="J4" s="900"/>
      <c r="K4" s="895" t="s">
        <v>49</v>
      </c>
      <c r="L4" s="900"/>
      <c r="M4" s="895" t="s">
        <v>479</v>
      </c>
      <c r="N4" s="900"/>
      <c r="O4" s="895" t="s">
        <v>516</v>
      </c>
      <c r="P4" s="900"/>
      <c r="Q4" s="895" t="s">
        <v>524</v>
      </c>
      <c r="R4" s="900"/>
      <c r="S4" s="895" t="s">
        <v>83</v>
      </c>
      <c r="T4" s="900"/>
      <c r="U4" s="895" t="s">
        <v>58</v>
      </c>
      <c r="V4" s="896"/>
      <c r="X4"/>
      <c r="Y4"/>
      <c r="Z4"/>
      <c r="AA4"/>
    </row>
    <row r="5" spans="1:27" ht="9.75">
      <c r="A5" s="562"/>
      <c r="B5" s="90"/>
      <c r="C5" s="897" t="s">
        <v>310</v>
      </c>
      <c r="D5" s="899"/>
      <c r="E5" s="897" t="s">
        <v>311</v>
      </c>
      <c r="F5" s="899"/>
      <c r="G5" s="897" t="s">
        <v>312</v>
      </c>
      <c r="H5" s="899"/>
      <c r="I5" s="897" t="s">
        <v>313</v>
      </c>
      <c r="J5" s="899"/>
      <c r="K5" s="897" t="s">
        <v>314</v>
      </c>
      <c r="L5" s="899"/>
      <c r="M5" s="897" t="s">
        <v>458</v>
      </c>
      <c r="N5" s="899"/>
      <c r="O5" s="897" t="s">
        <v>349</v>
      </c>
      <c r="P5" s="899"/>
      <c r="Q5" s="897" t="s">
        <v>525</v>
      </c>
      <c r="R5" s="899"/>
      <c r="S5" s="897" t="s">
        <v>315</v>
      </c>
      <c r="T5" s="899"/>
      <c r="U5" s="897"/>
      <c r="V5" s="898"/>
      <c r="X5"/>
      <c r="Y5"/>
      <c r="Z5"/>
      <c r="AA5"/>
    </row>
    <row r="6" spans="1:27" ht="10.5" thickBot="1">
      <c r="A6" s="742"/>
      <c r="B6" s="91"/>
      <c r="C6" s="564" t="s">
        <v>56</v>
      </c>
      <c r="D6" s="565" t="s">
        <v>57</v>
      </c>
      <c r="E6" s="564" t="s">
        <v>56</v>
      </c>
      <c r="F6" s="565" t="s">
        <v>57</v>
      </c>
      <c r="G6" s="564" t="s">
        <v>56</v>
      </c>
      <c r="H6" s="565" t="s">
        <v>57</v>
      </c>
      <c r="I6" s="564" t="s">
        <v>56</v>
      </c>
      <c r="J6" s="565" t="s">
        <v>57</v>
      </c>
      <c r="K6" s="564" t="s">
        <v>56</v>
      </c>
      <c r="L6" s="565" t="s">
        <v>57</v>
      </c>
      <c r="M6" s="564" t="s">
        <v>56</v>
      </c>
      <c r="N6" s="565" t="s">
        <v>57</v>
      </c>
      <c r="O6" s="564" t="s">
        <v>56</v>
      </c>
      <c r="P6" s="565" t="s">
        <v>57</v>
      </c>
      <c r="Q6" s="564" t="s">
        <v>56</v>
      </c>
      <c r="R6" s="565" t="s">
        <v>57</v>
      </c>
      <c r="S6" s="564" t="s">
        <v>56</v>
      </c>
      <c r="T6" s="565" t="s">
        <v>57</v>
      </c>
      <c r="U6" s="564" t="s">
        <v>56</v>
      </c>
      <c r="V6" s="566" t="s">
        <v>57</v>
      </c>
      <c r="X6"/>
      <c r="Y6"/>
      <c r="Z6"/>
      <c r="AA6"/>
    </row>
    <row r="7" spans="1:27" ht="12.75" customHeight="1" thickTop="1">
      <c r="A7" s="20" t="str">
        <f>'t1'!A6</f>
        <v>AVVOCATO GENERALE</v>
      </c>
      <c r="B7" s="217" t="str">
        <f>'t1'!B6</f>
        <v>0D0381</v>
      </c>
      <c r="C7" s="213"/>
      <c r="D7" s="218"/>
      <c r="E7" s="213"/>
      <c r="F7" s="218"/>
      <c r="G7" s="213"/>
      <c r="H7" s="218"/>
      <c r="I7" s="213"/>
      <c r="J7" s="218"/>
      <c r="K7" s="496"/>
      <c r="L7" s="212"/>
      <c r="M7" s="213"/>
      <c r="N7" s="218"/>
      <c r="O7" s="219"/>
      <c r="P7" s="218"/>
      <c r="Q7" s="219"/>
      <c r="R7" s="218"/>
      <c r="S7" s="219"/>
      <c r="T7" s="218"/>
      <c r="U7" s="419">
        <f>SUM(C7,E7,G7,I7,K7,M7,O7,Q7,S7)</f>
        <v>0</v>
      </c>
      <c r="V7" s="420">
        <f>SUM(D7,F7,H7,J7,L7,N7,P7,R7,T7)</f>
        <v>0</v>
      </c>
      <c r="W7" s="85">
        <f>'t1'!M6</f>
        <v>0</v>
      </c>
      <c r="X7"/>
      <c r="Y7"/>
      <c r="Z7"/>
      <c r="AA7"/>
    </row>
    <row r="8" spans="1:27" ht="12.75" customHeight="1">
      <c r="A8" s="141" t="str">
        <f>'t1'!A7</f>
        <v>AVVOCATO GENERALE AGGIUNTO</v>
      </c>
      <c r="B8" s="210" t="str">
        <f>'t1'!B7</f>
        <v>0D0845</v>
      </c>
      <c r="C8" s="213"/>
      <c r="D8" s="218"/>
      <c r="E8" s="213"/>
      <c r="F8" s="218"/>
      <c r="G8" s="213"/>
      <c r="H8" s="218"/>
      <c r="I8" s="213"/>
      <c r="J8" s="218"/>
      <c r="K8" s="498"/>
      <c r="L8" s="212"/>
      <c r="M8" s="213"/>
      <c r="N8" s="218"/>
      <c r="O8" s="219"/>
      <c r="P8" s="218"/>
      <c r="Q8" s="219"/>
      <c r="R8" s="218"/>
      <c r="S8" s="219"/>
      <c r="T8" s="218"/>
      <c r="U8" s="421">
        <f aca="true" t="shared" si="0" ref="U8:U14">SUM(C8,E8,G8,I8,K8,M8,O8,Q8,S8)</f>
        <v>0</v>
      </c>
      <c r="V8" s="422">
        <f aca="true" t="shared" si="1" ref="V8:V14">SUM(D8,F8,H8,J8,L8,N8,P8,R8,T8)</f>
        <v>0</v>
      </c>
      <c r="W8" s="85">
        <f>'t1'!M7</f>
        <v>0</v>
      </c>
      <c r="X8"/>
      <c r="Y8"/>
      <c r="Z8"/>
      <c r="AA8"/>
    </row>
    <row r="9" spans="1:27" ht="12.75" customHeight="1">
      <c r="A9" s="141" t="str">
        <f>'t1'!A8</f>
        <v>AVVOCATO IV CLASSE</v>
      </c>
      <c r="B9" s="210" t="str">
        <f>'t1'!B8</f>
        <v>0D0380</v>
      </c>
      <c r="C9" s="213"/>
      <c r="D9" s="218"/>
      <c r="E9" s="213"/>
      <c r="F9" s="218"/>
      <c r="G9" s="213"/>
      <c r="H9" s="218"/>
      <c r="I9" s="213"/>
      <c r="J9" s="218"/>
      <c r="K9" s="498"/>
      <c r="L9" s="212"/>
      <c r="M9" s="213"/>
      <c r="N9" s="218"/>
      <c r="O9" s="219"/>
      <c r="P9" s="218"/>
      <c r="Q9" s="219"/>
      <c r="R9" s="218"/>
      <c r="S9" s="219"/>
      <c r="T9" s="218"/>
      <c r="U9" s="421">
        <f t="shared" si="0"/>
        <v>0</v>
      </c>
      <c r="V9" s="422">
        <f t="shared" si="1"/>
        <v>0</v>
      </c>
      <c r="W9" s="85">
        <f>'t1'!M8</f>
        <v>0</v>
      </c>
      <c r="X9"/>
      <c r="Y9"/>
      <c r="Z9"/>
      <c r="AA9"/>
    </row>
    <row r="10" spans="1:27" ht="12.75" customHeight="1">
      <c r="A10" s="141" t="str">
        <f>'t1'!A9</f>
        <v>AVVOCATO III CLASSE</v>
      </c>
      <c r="B10" s="210" t="str">
        <f>'t1'!B9</f>
        <v>0D0379</v>
      </c>
      <c r="C10" s="213"/>
      <c r="D10" s="218"/>
      <c r="E10" s="213"/>
      <c r="F10" s="218"/>
      <c r="G10" s="213"/>
      <c r="H10" s="218"/>
      <c r="I10" s="213"/>
      <c r="J10" s="218"/>
      <c r="K10" s="498"/>
      <c r="L10" s="212"/>
      <c r="M10" s="213"/>
      <c r="N10" s="218"/>
      <c r="O10" s="219"/>
      <c r="P10" s="218"/>
      <c r="Q10" s="219"/>
      <c r="R10" s="218"/>
      <c r="S10" s="219"/>
      <c r="T10" s="218"/>
      <c r="U10" s="421">
        <f t="shared" si="0"/>
        <v>0</v>
      </c>
      <c r="V10" s="422">
        <f t="shared" si="1"/>
        <v>0</v>
      </c>
      <c r="W10" s="85">
        <f>'t1'!M9</f>
        <v>0</v>
      </c>
      <c r="X10"/>
      <c r="Y10"/>
      <c r="Z10"/>
      <c r="AA10"/>
    </row>
    <row r="11" spans="1:27" ht="12.75" customHeight="1">
      <c r="A11" s="141" t="str">
        <f>'t1'!A10</f>
        <v>AVVOCATO II CLASSE ED EQUIP.</v>
      </c>
      <c r="B11" s="210" t="str">
        <f>'t1'!B10</f>
        <v>0D0A2E</v>
      </c>
      <c r="C11" s="213"/>
      <c r="D11" s="218"/>
      <c r="E11" s="213"/>
      <c r="F11" s="218"/>
      <c r="G11" s="213"/>
      <c r="H11" s="218"/>
      <c r="I11" s="213"/>
      <c r="J11" s="218"/>
      <c r="K11" s="498"/>
      <c r="L11" s="212"/>
      <c r="M11" s="213"/>
      <c r="N11" s="218"/>
      <c r="O11" s="219"/>
      <c r="P11" s="218"/>
      <c r="Q11" s="219"/>
      <c r="R11" s="218"/>
      <c r="S11" s="219"/>
      <c r="T11" s="218"/>
      <c r="U11" s="421">
        <f t="shared" si="0"/>
        <v>0</v>
      </c>
      <c r="V11" s="422">
        <f t="shared" si="1"/>
        <v>0</v>
      </c>
      <c r="W11" s="85">
        <f>'t1'!M10</f>
        <v>0</v>
      </c>
      <c r="X11"/>
      <c r="Y11"/>
      <c r="Z11"/>
      <c r="AA11"/>
    </row>
    <row r="12" spans="1:27" ht="12.75" customHeight="1">
      <c r="A12" s="141" t="str">
        <f>'t1'!A11</f>
        <v>AVVOCATO I CLASSE ED EQUIP.</v>
      </c>
      <c r="B12" s="210" t="str">
        <f>'t1'!B11</f>
        <v>0D0A1E</v>
      </c>
      <c r="C12" s="213"/>
      <c r="D12" s="218"/>
      <c r="E12" s="213"/>
      <c r="F12" s="218"/>
      <c r="G12" s="213"/>
      <c r="H12" s="218"/>
      <c r="I12" s="213"/>
      <c r="J12" s="218"/>
      <c r="K12" s="498"/>
      <c r="L12" s="212"/>
      <c r="M12" s="213"/>
      <c r="N12" s="218"/>
      <c r="O12" s="219"/>
      <c r="P12" s="218"/>
      <c r="Q12" s="219"/>
      <c r="R12" s="218"/>
      <c r="S12" s="219"/>
      <c r="T12" s="218"/>
      <c r="U12" s="421">
        <f t="shared" si="0"/>
        <v>0</v>
      </c>
      <c r="V12" s="422">
        <f t="shared" si="1"/>
        <v>0</v>
      </c>
      <c r="W12" s="85">
        <f>'t1'!M11</f>
        <v>0</v>
      </c>
      <c r="X12"/>
      <c r="Y12"/>
      <c r="Z12"/>
      <c r="AA12"/>
    </row>
    <row r="13" spans="1:27" ht="12.75" customHeight="1">
      <c r="A13" s="141" t="str">
        <f>'t1'!A12</f>
        <v>PROCURATORE II CLASSE</v>
      </c>
      <c r="B13" s="210" t="str">
        <f>'t1'!B12</f>
        <v>0D0383</v>
      </c>
      <c r="C13" s="213"/>
      <c r="D13" s="218"/>
      <c r="E13" s="213"/>
      <c r="F13" s="218"/>
      <c r="G13" s="213"/>
      <c r="H13" s="218"/>
      <c r="I13" s="213"/>
      <c r="J13" s="218"/>
      <c r="K13" s="498"/>
      <c r="L13" s="212"/>
      <c r="M13" s="213"/>
      <c r="N13" s="218"/>
      <c r="O13" s="219"/>
      <c r="P13" s="218"/>
      <c r="Q13" s="219"/>
      <c r="R13" s="218"/>
      <c r="S13" s="219"/>
      <c r="T13" s="218"/>
      <c r="U13" s="421">
        <f t="shared" si="0"/>
        <v>0</v>
      </c>
      <c r="V13" s="422">
        <f t="shared" si="1"/>
        <v>0</v>
      </c>
      <c r="W13" s="85">
        <f>'t1'!M12</f>
        <v>0</v>
      </c>
      <c r="X13"/>
      <c r="Y13"/>
      <c r="Z13"/>
      <c r="AA13"/>
    </row>
    <row r="14" spans="1:27" ht="12.75" customHeight="1" thickBot="1">
      <c r="A14" s="141" t="str">
        <f>'t1'!A13</f>
        <v>PROCURATORE I CLASSE</v>
      </c>
      <c r="B14" s="210" t="str">
        <f>'t1'!B13</f>
        <v>0D0382</v>
      </c>
      <c r="C14" s="213"/>
      <c r="D14" s="218"/>
      <c r="E14" s="213"/>
      <c r="F14" s="218"/>
      <c r="G14" s="213"/>
      <c r="H14" s="218"/>
      <c r="I14" s="213"/>
      <c r="J14" s="218"/>
      <c r="K14" s="498"/>
      <c r="L14" s="212"/>
      <c r="M14" s="213"/>
      <c r="N14" s="218"/>
      <c r="O14" s="219"/>
      <c r="P14" s="218"/>
      <c r="Q14" s="219"/>
      <c r="R14" s="218"/>
      <c r="S14" s="219"/>
      <c r="T14" s="218"/>
      <c r="U14" s="421">
        <f t="shared" si="0"/>
        <v>0</v>
      </c>
      <c r="V14" s="422">
        <f t="shared" si="1"/>
        <v>0</v>
      </c>
      <c r="W14" s="85">
        <f>'t1'!M13</f>
        <v>0</v>
      </c>
      <c r="X14"/>
      <c r="Y14"/>
      <c r="Z14"/>
      <c r="AA14"/>
    </row>
    <row r="15" spans="1:27" ht="13.5" customHeight="1" thickBot="1" thickTop="1">
      <c r="A15" s="279" t="s">
        <v>58</v>
      </c>
      <c r="B15" s="93"/>
      <c r="C15" s="423">
        <f aca="true" t="shared" si="2" ref="C15:V15">SUM(C7:C14)</f>
        <v>0</v>
      </c>
      <c r="D15" s="424">
        <f t="shared" si="2"/>
        <v>0</v>
      </c>
      <c r="E15" s="423">
        <f t="shared" si="2"/>
        <v>0</v>
      </c>
      <c r="F15" s="424">
        <f t="shared" si="2"/>
        <v>0</v>
      </c>
      <c r="G15" s="423">
        <f t="shared" si="2"/>
        <v>0</v>
      </c>
      <c r="H15" s="424">
        <f t="shared" si="2"/>
        <v>0</v>
      </c>
      <c r="I15" s="423">
        <f t="shared" si="2"/>
        <v>0</v>
      </c>
      <c r="J15" s="424">
        <f t="shared" si="2"/>
        <v>0</v>
      </c>
      <c r="K15" s="423">
        <f t="shared" si="2"/>
        <v>0</v>
      </c>
      <c r="L15" s="497">
        <f t="shared" si="2"/>
        <v>0</v>
      </c>
      <c r="M15" s="423">
        <f>SUM(M7:M14)</f>
        <v>0</v>
      </c>
      <c r="N15" s="424">
        <f>SUM(N7:N14)</f>
        <v>0</v>
      </c>
      <c r="O15" s="423">
        <f t="shared" si="2"/>
        <v>0</v>
      </c>
      <c r="P15" s="424">
        <f t="shared" si="2"/>
        <v>0</v>
      </c>
      <c r="Q15" s="423">
        <f>SUM(Q7:Q14)</f>
        <v>0</v>
      </c>
      <c r="R15" s="424">
        <f>SUM(R7:R14)</f>
        <v>0</v>
      </c>
      <c r="S15" s="423">
        <f t="shared" si="2"/>
        <v>0</v>
      </c>
      <c r="T15" s="424">
        <f t="shared" si="2"/>
        <v>0</v>
      </c>
      <c r="U15" s="423">
        <f t="shared" si="2"/>
        <v>0</v>
      </c>
      <c r="V15" s="510">
        <f t="shared" si="2"/>
        <v>0</v>
      </c>
      <c r="X15"/>
      <c r="Y15"/>
      <c r="Z15"/>
      <c r="AA15"/>
    </row>
    <row r="16" ht="18.75" customHeight="1">
      <c r="A16" s="85" t="s">
        <v>85</v>
      </c>
    </row>
    <row r="17" spans="1:14" ht="9.75">
      <c r="A17" s="21"/>
      <c r="B17" s="7"/>
      <c r="C17" s="5"/>
      <c r="D17" s="5"/>
      <c r="E17" s="5"/>
      <c r="F17" s="5"/>
      <c r="G17" s="5"/>
      <c r="H17" s="5"/>
      <c r="I17" s="5"/>
      <c r="J17" s="5"/>
      <c r="K17" s="5"/>
      <c r="L17" s="5"/>
      <c r="M17" s="5"/>
      <c r="N17" s="5"/>
    </row>
    <row r="18" ht="9.75">
      <c r="A18" s="21"/>
    </row>
  </sheetData>
  <sheetProtection password="EA98" sheet="1" formatColumns="0" selectLockedCells="1"/>
  <mergeCells count="22">
    <mergeCell ref="A1:T1"/>
    <mergeCell ref="G4:H4"/>
    <mergeCell ref="C5:D5"/>
    <mergeCell ref="E5:F5"/>
    <mergeCell ref="G5:H5"/>
    <mergeCell ref="O4:P4"/>
    <mergeCell ref="I5:J5"/>
    <mergeCell ref="K4:L4"/>
    <mergeCell ref="N2:V2"/>
    <mergeCell ref="Q5:R5"/>
    <mergeCell ref="O5:P5"/>
    <mergeCell ref="K5:L5"/>
    <mergeCell ref="Q4:R4"/>
    <mergeCell ref="S4:T4"/>
    <mergeCell ref="M4:N4"/>
    <mergeCell ref="U4:V4"/>
    <mergeCell ref="U5:V5"/>
    <mergeCell ref="M5:N5"/>
    <mergeCell ref="S5:T5"/>
    <mergeCell ref="C4:D4"/>
    <mergeCell ref="E4:F4"/>
    <mergeCell ref="I4:J4"/>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W19"/>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37.66015625" style="74" customWidth="1"/>
    <col min="2" max="2" width="7.83203125" style="84" bestFit="1" customWidth="1"/>
    <col min="3" max="8" width="10.83203125" style="74" customWidth="1"/>
    <col min="9" max="12" width="11.16015625" style="74" customWidth="1"/>
    <col min="13" max="20" width="10.33203125" style="74" customWidth="1"/>
    <col min="21" max="22" width="10.83203125" style="74" customWidth="1"/>
    <col min="23" max="23" width="5.83203125" style="74" hidden="1" customWidth="1"/>
    <col min="24" max="16384" width="10.66015625" style="74" customWidth="1"/>
  </cols>
  <sheetData>
    <row r="1" spans="1:23" s="5" customFormat="1" ht="43.5" customHeight="1">
      <c r="A1" s="882" t="str">
        <f>'t1'!A1</f>
        <v>AVVOCATURA DI STATO - anno 2021</v>
      </c>
      <c r="B1" s="882"/>
      <c r="C1" s="882"/>
      <c r="D1" s="882"/>
      <c r="E1" s="882"/>
      <c r="F1" s="882"/>
      <c r="G1" s="882"/>
      <c r="H1" s="882"/>
      <c r="I1" s="882"/>
      <c r="J1" s="882"/>
      <c r="K1" s="882"/>
      <c r="L1" s="882"/>
      <c r="M1" s="882"/>
      <c r="N1" s="882"/>
      <c r="O1" s="882"/>
      <c r="P1" s="882"/>
      <c r="Q1" s="330"/>
      <c r="R1" s="330"/>
      <c r="S1" s="330"/>
      <c r="T1" s="330"/>
      <c r="U1" s="3"/>
      <c r="V1" s="295"/>
      <c r="W1"/>
    </row>
    <row r="2" spans="1:22" ht="30" customHeight="1" thickBot="1">
      <c r="A2" s="70"/>
      <c r="B2" s="71"/>
      <c r="C2" s="72"/>
      <c r="D2" s="73"/>
      <c r="E2" s="73"/>
      <c r="F2" s="73"/>
      <c r="G2" s="72"/>
      <c r="H2" s="72"/>
      <c r="I2" s="72"/>
      <c r="J2" s="883"/>
      <c r="K2" s="883"/>
      <c r="L2" s="883"/>
      <c r="M2" s="883"/>
      <c r="N2" s="883"/>
      <c r="O2" s="883"/>
      <c r="P2" s="883"/>
      <c r="Q2" s="883"/>
      <c r="R2" s="883"/>
      <c r="S2" s="883"/>
      <c r="T2" s="883"/>
      <c r="U2" s="883"/>
      <c r="V2" s="883"/>
    </row>
    <row r="3" spans="1:22" ht="15" customHeight="1" thickBot="1">
      <c r="A3" s="75"/>
      <c r="B3" s="76"/>
      <c r="C3" s="77" t="s">
        <v>225</v>
      </c>
      <c r="D3" s="78"/>
      <c r="E3" s="78"/>
      <c r="F3" s="78"/>
      <c r="G3" s="78"/>
      <c r="H3" s="78"/>
      <c r="I3" s="78"/>
      <c r="J3" s="78"/>
      <c r="K3" s="78"/>
      <c r="L3" s="78"/>
      <c r="M3" s="78"/>
      <c r="N3" s="78"/>
      <c r="O3" s="78"/>
      <c r="P3" s="78"/>
      <c r="Q3" s="78"/>
      <c r="R3" s="78"/>
      <c r="S3" s="78"/>
      <c r="T3" s="78"/>
      <c r="U3" s="78"/>
      <c r="V3" s="79"/>
    </row>
    <row r="4" spans="1:22" ht="37.5" customHeight="1" thickTop="1">
      <c r="A4" s="264" t="s">
        <v>121</v>
      </c>
      <c r="B4" s="80" t="s">
        <v>55</v>
      </c>
      <c r="C4" s="903" t="s">
        <v>309</v>
      </c>
      <c r="D4" s="885"/>
      <c r="E4" s="903" t="s">
        <v>83</v>
      </c>
      <c r="F4" s="885"/>
      <c r="G4" s="903" t="s">
        <v>472</v>
      </c>
      <c r="H4" s="904"/>
      <c r="I4" s="909" t="s">
        <v>287</v>
      </c>
      <c r="J4" s="910"/>
      <c r="K4" s="903" t="s">
        <v>288</v>
      </c>
      <c r="L4" s="904"/>
      <c r="M4" s="903" t="s">
        <v>289</v>
      </c>
      <c r="N4" s="904"/>
      <c r="O4" s="909" t="s">
        <v>290</v>
      </c>
      <c r="P4" s="911"/>
      <c r="Q4" s="903" t="s">
        <v>515</v>
      </c>
      <c r="R4" s="904"/>
      <c r="S4" s="909" t="s">
        <v>514</v>
      </c>
      <c r="T4" s="911"/>
      <c r="U4" s="905" t="s">
        <v>58</v>
      </c>
      <c r="V4" s="906"/>
    </row>
    <row r="5" spans="1:22" ht="9.75">
      <c r="A5" s="563"/>
      <c r="B5" s="80"/>
      <c r="C5" s="901" t="s">
        <v>316</v>
      </c>
      <c r="D5" s="902"/>
      <c r="E5" s="901" t="s">
        <v>317</v>
      </c>
      <c r="F5" s="902"/>
      <c r="G5" s="901" t="s">
        <v>318</v>
      </c>
      <c r="H5" s="902"/>
      <c r="I5" s="901" t="s">
        <v>319</v>
      </c>
      <c r="J5" s="902"/>
      <c r="K5" s="901" t="s">
        <v>320</v>
      </c>
      <c r="L5" s="902"/>
      <c r="M5" s="901" t="s">
        <v>321</v>
      </c>
      <c r="N5" s="902"/>
      <c r="O5" s="901" t="s">
        <v>322</v>
      </c>
      <c r="P5" s="902"/>
      <c r="Q5" s="901" t="s">
        <v>459</v>
      </c>
      <c r="R5" s="902"/>
      <c r="S5" s="901" t="s">
        <v>513</v>
      </c>
      <c r="T5" s="902"/>
      <c r="U5" s="907"/>
      <c r="V5" s="908"/>
    </row>
    <row r="6" spans="1:22" ht="10.5" thickBot="1">
      <c r="A6" s="738" t="s">
        <v>478</v>
      </c>
      <c r="B6" s="81"/>
      <c r="C6" s="567" t="s">
        <v>56</v>
      </c>
      <c r="D6" s="568" t="s">
        <v>57</v>
      </c>
      <c r="E6" s="567" t="s">
        <v>56</v>
      </c>
      <c r="F6" s="568" t="s">
        <v>57</v>
      </c>
      <c r="G6" s="567" t="s">
        <v>56</v>
      </c>
      <c r="H6" s="568" t="s">
        <v>57</v>
      </c>
      <c r="I6" s="567" t="s">
        <v>56</v>
      </c>
      <c r="J6" s="568" t="s">
        <v>57</v>
      </c>
      <c r="K6" s="567" t="s">
        <v>56</v>
      </c>
      <c r="L6" s="568" t="s">
        <v>57</v>
      </c>
      <c r="M6" s="567" t="s">
        <v>56</v>
      </c>
      <c r="N6" s="568" t="s">
        <v>57</v>
      </c>
      <c r="O6" s="567" t="s">
        <v>56</v>
      </c>
      <c r="P6" s="568" t="s">
        <v>57</v>
      </c>
      <c r="Q6" s="567" t="s">
        <v>56</v>
      </c>
      <c r="R6" s="568" t="s">
        <v>57</v>
      </c>
      <c r="S6" s="567" t="s">
        <v>56</v>
      </c>
      <c r="T6" s="568" t="s">
        <v>57</v>
      </c>
      <c r="U6" s="567" t="s">
        <v>56</v>
      </c>
      <c r="V6" s="569" t="s">
        <v>57</v>
      </c>
    </row>
    <row r="7" spans="1:23" ht="12" customHeight="1" thickTop="1">
      <c r="A7" s="20" t="str">
        <f>'t1'!A6</f>
        <v>AVVOCATO GENERALE</v>
      </c>
      <c r="B7" s="217" t="str">
        <f>'t1'!B6</f>
        <v>0D0381</v>
      </c>
      <c r="C7" s="617"/>
      <c r="D7" s="618"/>
      <c r="E7" s="617"/>
      <c r="F7" s="619"/>
      <c r="G7" s="617"/>
      <c r="H7" s="619"/>
      <c r="I7" s="617"/>
      <c r="J7" s="618"/>
      <c r="K7" s="619"/>
      <c r="L7" s="618"/>
      <c r="M7" s="619"/>
      <c r="N7" s="618"/>
      <c r="O7" s="620"/>
      <c r="P7" s="621"/>
      <c r="Q7" s="715"/>
      <c r="R7" s="710"/>
      <c r="S7" s="709"/>
      <c r="T7" s="710"/>
      <c r="U7" s="425">
        <f>SUM(C7,E7,G7,I7,K7,M7,O7,Q7,S7)</f>
        <v>0</v>
      </c>
      <c r="V7" s="426">
        <f>SUM(D7,F7,H7,J7,L7,N7,P7,R7,T7)</f>
        <v>0</v>
      </c>
      <c r="W7" s="74">
        <f>'t1'!M6</f>
        <v>0</v>
      </c>
    </row>
    <row r="8" spans="1:23" ht="12" customHeight="1">
      <c r="A8" s="141" t="str">
        <f>'t1'!A7</f>
        <v>AVVOCATO GENERALE AGGIUNTO</v>
      </c>
      <c r="B8" s="210" t="str">
        <f>'t1'!B7</f>
        <v>0D0845</v>
      </c>
      <c r="C8" s="622"/>
      <c r="D8" s="623"/>
      <c r="E8" s="622"/>
      <c r="F8" s="624"/>
      <c r="G8" s="622"/>
      <c r="H8" s="624"/>
      <c r="I8" s="622"/>
      <c r="J8" s="623"/>
      <c r="K8" s="624"/>
      <c r="L8" s="623"/>
      <c r="M8" s="624"/>
      <c r="N8" s="623"/>
      <c r="O8" s="625"/>
      <c r="P8" s="626"/>
      <c r="Q8" s="716"/>
      <c r="R8" s="712"/>
      <c r="S8" s="711"/>
      <c r="T8" s="712"/>
      <c r="U8" s="425">
        <f aca="true" t="shared" si="0" ref="U8:U14">SUM(C8,E8,G8,I8,K8,M8,O8,Q8,S8)</f>
        <v>0</v>
      </c>
      <c r="V8" s="426">
        <f aca="true" t="shared" si="1" ref="V8:V14">SUM(D8,F8,H8,J8,L8,N8,P8,R8,T8)</f>
        <v>0</v>
      </c>
      <c r="W8" s="74">
        <f>'t1'!M7</f>
        <v>0</v>
      </c>
    </row>
    <row r="9" spans="1:23" ht="12" customHeight="1">
      <c r="A9" s="141" t="str">
        <f>'t1'!A8</f>
        <v>AVVOCATO IV CLASSE</v>
      </c>
      <c r="B9" s="210" t="str">
        <f>'t1'!B8</f>
        <v>0D0380</v>
      </c>
      <c r="C9" s="622"/>
      <c r="D9" s="623"/>
      <c r="E9" s="622"/>
      <c r="F9" s="624"/>
      <c r="G9" s="622"/>
      <c r="H9" s="624"/>
      <c r="I9" s="622"/>
      <c r="J9" s="623"/>
      <c r="K9" s="624"/>
      <c r="L9" s="623"/>
      <c r="M9" s="624"/>
      <c r="N9" s="623"/>
      <c r="O9" s="625"/>
      <c r="P9" s="626"/>
      <c r="Q9" s="716"/>
      <c r="R9" s="712"/>
      <c r="S9" s="711"/>
      <c r="T9" s="712"/>
      <c r="U9" s="425">
        <f t="shared" si="0"/>
        <v>0</v>
      </c>
      <c r="V9" s="426">
        <f t="shared" si="1"/>
        <v>0</v>
      </c>
      <c r="W9" s="74">
        <f>'t1'!M8</f>
        <v>0</v>
      </c>
    </row>
    <row r="10" spans="1:23" ht="12" customHeight="1">
      <c r="A10" s="141" t="str">
        <f>'t1'!A9</f>
        <v>AVVOCATO III CLASSE</v>
      </c>
      <c r="B10" s="210" t="str">
        <f>'t1'!B9</f>
        <v>0D0379</v>
      </c>
      <c r="C10" s="622"/>
      <c r="D10" s="623"/>
      <c r="E10" s="622"/>
      <c r="F10" s="624"/>
      <c r="G10" s="622"/>
      <c r="H10" s="624"/>
      <c r="I10" s="622"/>
      <c r="J10" s="623"/>
      <c r="K10" s="624"/>
      <c r="L10" s="623"/>
      <c r="M10" s="624"/>
      <c r="N10" s="623"/>
      <c r="O10" s="625"/>
      <c r="P10" s="626"/>
      <c r="Q10" s="716"/>
      <c r="R10" s="712"/>
      <c r="S10" s="711"/>
      <c r="T10" s="712"/>
      <c r="U10" s="425">
        <f t="shared" si="0"/>
        <v>0</v>
      </c>
      <c r="V10" s="426">
        <f t="shared" si="1"/>
        <v>0</v>
      </c>
      <c r="W10" s="74">
        <f>'t1'!M9</f>
        <v>0</v>
      </c>
    </row>
    <row r="11" spans="1:23" ht="12" customHeight="1">
      <c r="A11" s="141" t="str">
        <f>'t1'!A10</f>
        <v>AVVOCATO II CLASSE ED EQUIP.</v>
      </c>
      <c r="B11" s="210" t="str">
        <f>'t1'!B10</f>
        <v>0D0A2E</v>
      </c>
      <c r="C11" s="622"/>
      <c r="D11" s="623"/>
      <c r="E11" s="622"/>
      <c r="F11" s="624"/>
      <c r="G11" s="622"/>
      <c r="H11" s="624"/>
      <c r="I11" s="622"/>
      <c r="J11" s="623"/>
      <c r="K11" s="624"/>
      <c r="L11" s="623"/>
      <c r="M11" s="624"/>
      <c r="N11" s="623"/>
      <c r="O11" s="625"/>
      <c r="P11" s="626"/>
      <c r="Q11" s="716"/>
      <c r="R11" s="712"/>
      <c r="S11" s="711"/>
      <c r="T11" s="712"/>
      <c r="U11" s="425">
        <f t="shared" si="0"/>
        <v>0</v>
      </c>
      <c r="V11" s="426">
        <f t="shared" si="1"/>
        <v>0</v>
      </c>
      <c r="W11" s="74">
        <f>'t1'!M10</f>
        <v>0</v>
      </c>
    </row>
    <row r="12" spans="1:23" ht="12" customHeight="1">
      <c r="A12" s="141" t="str">
        <f>'t1'!A11</f>
        <v>AVVOCATO I CLASSE ED EQUIP.</v>
      </c>
      <c r="B12" s="210" t="str">
        <f>'t1'!B11</f>
        <v>0D0A1E</v>
      </c>
      <c r="C12" s="622"/>
      <c r="D12" s="623"/>
      <c r="E12" s="622"/>
      <c r="F12" s="624"/>
      <c r="G12" s="622"/>
      <c r="H12" s="624"/>
      <c r="I12" s="622"/>
      <c r="J12" s="623"/>
      <c r="K12" s="624"/>
      <c r="L12" s="623"/>
      <c r="M12" s="624"/>
      <c r="N12" s="623"/>
      <c r="O12" s="625"/>
      <c r="P12" s="626"/>
      <c r="Q12" s="716"/>
      <c r="R12" s="712"/>
      <c r="S12" s="711"/>
      <c r="T12" s="712"/>
      <c r="U12" s="425">
        <f t="shared" si="0"/>
        <v>0</v>
      </c>
      <c r="V12" s="426">
        <f t="shared" si="1"/>
        <v>0</v>
      </c>
      <c r="W12" s="74">
        <f>'t1'!M11</f>
        <v>0</v>
      </c>
    </row>
    <row r="13" spans="1:23" ht="12" customHeight="1">
      <c r="A13" s="141" t="str">
        <f>'t1'!A12</f>
        <v>PROCURATORE II CLASSE</v>
      </c>
      <c r="B13" s="210" t="str">
        <f>'t1'!B12</f>
        <v>0D0383</v>
      </c>
      <c r="C13" s="622"/>
      <c r="D13" s="623"/>
      <c r="E13" s="622"/>
      <c r="F13" s="624"/>
      <c r="G13" s="622"/>
      <c r="H13" s="624"/>
      <c r="I13" s="622"/>
      <c r="J13" s="623"/>
      <c r="K13" s="624"/>
      <c r="L13" s="623"/>
      <c r="M13" s="624"/>
      <c r="N13" s="623"/>
      <c r="O13" s="625"/>
      <c r="P13" s="626"/>
      <c r="Q13" s="716"/>
      <c r="R13" s="712"/>
      <c r="S13" s="711"/>
      <c r="T13" s="712"/>
      <c r="U13" s="425">
        <f t="shared" si="0"/>
        <v>0</v>
      </c>
      <c r="V13" s="426">
        <f t="shared" si="1"/>
        <v>0</v>
      </c>
      <c r="W13" s="74">
        <f>'t1'!M12</f>
        <v>0</v>
      </c>
    </row>
    <row r="14" spans="1:23" ht="12" customHeight="1" thickBot="1">
      <c r="A14" s="141" t="str">
        <f>'t1'!A13</f>
        <v>PROCURATORE I CLASSE</v>
      </c>
      <c r="B14" s="210" t="str">
        <f>'t1'!B13</f>
        <v>0D0382</v>
      </c>
      <c r="C14" s="622"/>
      <c r="D14" s="623"/>
      <c r="E14" s="622"/>
      <c r="F14" s="624"/>
      <c r="G14" s="622"/>
      <c r="H14" s="624"/>
      <c r="I14" s="622"/>
      <c r="J14" s="623"/>
      <c r="K14" s="624"/>
      <c r="L14" s="623"/>
      <c r="M14" s="624"/>
      <c r="N14" s="623"/>
      <c r="O14" s="625"/>
      <c r="P14" s="626"/>
      <c r="Q14" s="716"/>
      <c r="R14" s="712"/>
      <c r="S14" s="711"/>
      <c r="T14" s="712"/>
      <c r="U14" s="425">
        <f t="shared" si="0"/>
        <v>0</v>
      </c>
      <c r="V14" s="426">
        <f t="shared" si="1"/>
        <v>0</v>
      </c>
      <c r="W14" s="74">
        <f>'t1'!M13</f>
        <v>0</v>
      </c>
    </row>
    <row r="15" spans="1:22" ht="12.75" customHeight="1" thickBot="1" thickTop="1">
      <c r="A15" s="82" t="s">
        <v>58</v>
      </c>
      <c r="B15" s="83"/>
      <c r="C15" s="427">
        <f aca="true" t="shared" si="2" ref="C15:V15">SUM(C7:C14)</f>
        <v>0</v>
      </c>
      <c r="D15" s="429">
        <f t="shared" si="2"/>
        <v>0</v>
      </c>
      <c r="E15" s="511">
        <f t="shared" si="2"/>
        <v>0</v>
      </c>
      <c r="F15" s="429">
        <f t="shared" si="2"/>
        <v>0</v>
      </c>
      <c r="G15" s="511">
        <f t="shared" si="2"/>
        <v>0</v>
      </c>
      <c r="H15" s="429">
        <f t="shared" si="2"/>
        <v>0</v>
      </c>
      <c r="I15" s="511">
        <f t="shared" si="2"/>
        <v>0</v>
      </c>
      <c r="J15" s="429">
        <f t="shared" si="2"/>
        <v>0</v>
      </c>
      <c r="K15" s="511">
        <f t="shared" si="2"/>
        <v>0</v>
      </c>
      <c r="L15" s="429">
        <f t="shared" si="2"/>
        <v>0</v>
      </c>
      <c r="M15" s="511">
        <f t="shared" si="2"/>
        <v>0</v>
      </c>
      <c r="N15" s="429">
        <f t="shared" si="2"/>
        <v>0</v>
      </c>
      <c r="O15" s="511">
        <f t="shared" si="2"/>
        <v>0</v>
      </c>
      <c r="P15" s="429">
        <f t="shared" si="2"/>
        <v>0</v>
      </c>
      <c r="Q15" s="713">
        <f>SUM(Q7:Q14)</f>
        <v>0</v>
      </c>
      <c r="R15" s="714">
        <f>SUM(R7:R14)</f>
        <v>0</v>
      </c>
      <c r="S15" s="713">
        <f>SUM(S7:S14)</f>
        <v>0</v>
      </c>
      <c r="T15" s="714">
        <f>SUM(T7:T14)</f>
        <v>0</v>
      </c>
      <c r="U15" s="427">
        <f t="shared" si="2"/>
        <v>0</v>
      </c>
      <c r="V15" s="428">
        <f t="shared" si="2"/>
        <v>0</v>
      </c>
    </row>
    <row r="17" spans="1:20" ht="9.75" customHeight="1">
      <c r="A17" s="21"/>
      <c r="B17" s="7"/>
      <c r="C17" s="5"/>
      <c r="D17" s="5"/>
      <c r="E17" s="5"/>
      <c r="F17" s="5"/>
      <c r="G17" s="5"/>
      <c r="H17" s="5"/>
      <c r="I17" s="5"/>
      <c r="J17" s="5"/>
      <c r="K17" s="5"/>
      <c r="L17" s="5"/>
      <c r="M17" s="5"/>
      <c r="N17" s="5"/>
      <c r="O17" s="5"/>
      <c r="P17" s="5"/>
      <c r="Q17" s="5"/>
      <c r="R17" s="5"/>
      <c r="S17" s="5"/>
      <c r="T17" s="5"/>
    </row>
    <row r="18" spans="1:2" s="5" customFormat="1" ht="9.75">
      <c r="A18" s="21"/>
      <c r="B18" s="7"/>
    </row>
    <row r="19" ht="9.75">
      <c r="A19" s="74" t="s">
        <v>132</v>
      </c>
    </row>
  </sheetData>
  <sheetProtection password="EA98" sheet="1" formatColumns="0" selectLockedCells="1"/>
  <mergeCells count="22">
    <mergeCell ref="S5:T5"/>
    <mergeCell ref="E5:F5"/>
    <mergeCell ref="O4:P4"/>
    <mergeCell ref="G5:H5"/>
    <mergeCell ref="I5:J5"/>
    <mergeCell ref="M4:N4"/>
    <mergeCell ref="U4:V4"/>
    <mergeCell ref="M5:N5"/>
    <mergeCell ref="O5:P5"/>
    <mergeCell ref="K4:L4"/>
    <mergeCell ref="U5:V5"/>
    <mergeCell ref="J2:V2"/>
    <mergeCell ref="I4:J4"/>
    <mergeCell ref="Q4:R4"/>
    <mergeCell ref="Q5:R5"/>
    <mergeCell ref="S4:T4"/>
    <mergeCell ref="C5:D5"/>
    <mergeCell ref="A1:P1"/>
    <mergeCell ref="G4:H4"/>
    <mergeCell ref="C4:D4"/>
    <mergeCell ref="E4:F4"/>
    <mergeCell ref="K5:L5"/>
  </mergeCells>
  <conditionalFormatting sqref="A7:R14 U7:V14">
    <cfRule type="expression" priority="2" dxfId="4" stopIfTrue="1">
      <formula>$W7&gt;0</formula>
    </cfRule>
  </conditionalFormatting>
  <conditionalFormatting sqref="S7:T14">
    <cfRule type="expression" priority="1" dxfId="4"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Y1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35.66015625" style="54" customWidth="1"/>
    <col min="2" max="2" width="10.5" style="56" customWidth="1"/>
    <col min="3" max="24" width="8" style="54" customWidth="1"/>
    <col min="25" max="25" width="0" style="54" hidden="1" customWidth="1"/>
    <col min="26" max="16384" width="10.66015625" style="54" customWidth="1"/>
  </cols>
  <sheetData>
    <row r="1" spans="1:24" s="5" customFormat="1" ht="43.5" customHeight="1">
      <c r="A1" s="882" t="str">
        <f>'t1'!A1</f>
        <v>AVVOCATURA DI STATO - anno 2021</v>
      </c>
      <c r="B1" s="882"/>
      <c r="C1" s="882"/>
      <c r="D1" s="882"/>
      <c r="E1" s="882"/>
      <c r="F1" s="882"/>
      <c r="G1" s="882"/>
      <c r="H1" s="882"/>
      <c r="I1" s="882"/>
      <c r="J1" s="882"/>
      <c r="K1" s="882"/>
      <c r="L1" s="882"/>
      <c r="M1" s="882"/>
      <c r="N1" s="882"/>
      <c r="O1" s="882"/>
      <c r="P1" s="882"/>
      <c r="Q1" s="882"/>
      <c r="R1" s="882"/>
      <c r="S1" s="882"/>
      <c r="T1" s="882"/>
      <c r="U1" s="882"/>
      <c r="V1" s="882"/>
      <c r="X1" s="295"/>
    </row>
    <row r="2" spans="1:24" ht="30" customHeight="1" thickBot="1">
      <c r="A2" s="55"/>
      <c r="P2" s="883"/>
      <c r="Q2" s="883"/>
      <c r="R2" s="883"/>
      <c r="S2" s="883"/>
      <c r="T2" s="883"/>
      <c r="U2" s="883"/>
      <c r="V2" s="883"/>
      <c r="W2" s="883"/>
      <c r="X2" s="883"/>
    </row>
    <row r="3" spans="1:24" ht="16.5" customHeight="1" thickBot="1">
      <c r="A3" s="57"/>
      <c r="B3" s="58"/>
      <c r="C3" s="59" t="s">
        <v>225</v>
      </c>
      <c r="D3" s="60"/>
      <c r="E3" s="60"/>
      <c r="F3" s="60"/>
      <c r="G3" s="60"/>
      <c r="H3" s="60"/>
      <c r="I3" s="60"/>
      <c r="J3" s="60"/>
      <c r="K3" s="60"/>
      <c r="L3" s="60"/>
      <c r="M3" s="60"/>
      <c r="N3" s="60"/>
      <c r="O3" s="60"/>
      <c r="P3" s="60"/>
      <c r="Q3" s="60"/>
      <c r="R3" s="60"/>
      <c r="S3" s="60"/>
      <c r="T3" s="61"/>
      <c r="U3" s="60"/>
      <c r="V3" s="61"/>
      <c r="W3" s="60"/>
      <c r="X3" s="61"/>
    </row>
    <row r="4" spans="1:24" ht="16.5" customHeight="1" thickTop="1">
      <c r="A4" s="263" t="s">
        <v>129</v>
      </c>
      <c r="B4" s="62" t="s">
        <v>55</v>
      </c>
      <c r="C4" s="912" t="s">
        <v>75</v>
      </c>
      <c r="D4" s="913"/>
      <c r="E4" s="912" t="s">
        <v>76</v>
      </c>
      <c r="F4" s="913"/>
      <c r="G4" s="912" t="s">
        <v>77</v>
      </c>
      <c r="H4" s="913"/>
      <c r="I4" s="912" t="s">
        <v>78</v>
      </c>
      <c r="J4" s="913"/>
      <c r="K4" s="912" t="s">
        <v>79</v>
      </c>
      <c r="L4" s="913"/>
      <c r="M4" s="912" t="s">
        <v>80</v>
      </c>
      <c r="N4" s="913"/>
      <c r="O4" s="912" t="s">
        <v>81</v>
      </c>
      <c r="P4" s="913"/>
      <c r="Q4" s="912" t="s">
        <v>82</v>
      </c>
      <c r="R4" s="913"/>
      <c r="S4" s="912" t="s">
        <v>345</v>
      </c>
      <c r="T4" s="913"/>
      <c r="U4" s="912" t="s">
        <v>346</v>
      </c>
      <c r="V4" s="913"/>
      <c r="W4" s="63" t="s">
        <v>58</v>
      </c>
      <c r="X4" s="125"/>
    </row>
    <row r="5" spans="1:24" ht="10.5" thickBot="1">
      <c r="A5" s="737" t="s">
        <v>478</v>
      </c>
      <c r="B5" s="64"/>
      <c r="C5" s="65" t="s">
        <v>73</v>
      </c>
      <c r="D5" s="66" t="s">
        <v>74</v>
      </c>
      <c r="E5" s="65" t="s">
        <v>73</v>
      </c>
      <c r="F5" s="66" t="s">
        <v>74</v>
      </c>
      <c r="G5" s="65" t="s">
        <v>73</v>
      </c>
      <c r="H5" s="66" t="s">
        <v>74</v>
      </c>
      <c r="I5" s="65" t="s">
        <v>73</v>
      </c>
      <c r="J5" s="66" t="s">
        <v>74</v>
      </c>
      <c r="K5" s="65" t="s">
        <v>73</v>
      </c>
      <c r="L5" s="66" t="s">
        <v>74</v>
      </c>
      <c r="M5" s="65" t="s">
        <v>73</v>
      </c>
      <c r="N5" s="66" t="s">
        <v>74</v>
      </c>
      <c r="O5" s="65" t="s">
        <v>73</v>
      </c>
      <c r="P5" s="66" t="s">
        <v>74</v>
      </c>
      <c r="Q5" s="65" t="s">
        <v>73</v>
      </c>
      <c r="R5" s="66" t="s">
        <v>74</v>
      </c>
      <c r="S5" s="65" t="s">
        <v>73</v>
      </c>
      <c r="T5" s="67" t="s">
        <v>74</v>
      </c>
      <c r="U5" s="65" t="s">
        <v>73</v>
      </c>
      <c r="V5" s="67" t="s">
        <v>74</v>
      </c>
      <c r="W5" s="65" t="s">
        <v>73</v>
      </c>
      <c r="X5" s="67" t="s">
        <v>74</v>
      </c>
    </row>
    <row r="6" spans="1:25" ht="12.75" customHeight="1" thickTop="1">
      <c r="A6" s="20" t="str">
        <f>'t1'!A6</f>
        <v>AVVOCATO GENERALE</v>
      </c>
      <c r="B6" s="217" t="str">
        <f>'t1'!B6</f>
        <v>0D0381</v>
      </c>
      <c r="C6" s="221"/>
      <c r="D6" s="222"/>
      <c r="E6" s="221"/>
      <c r="F6" s="222"/>
      <c r="G6" s="221"/>
      <c r="H6" s="222"/>
      <c r="I6" s="221"/>
      <c r="J6" s="222"/>
      <c r="K6" s="221"/>
      <c r="L6" s="222"/>
      <c r="M6" s="223"/>
      <c r="N6" s="224"/>
      <c r="O6" s="221"/>
      <c r="P6" s="222"/>
      <c r="Q6" s="221"/>
      <c r="R6" s="222"/>
      <c r="S6" s="225"/>
      <c r="T6" s="226"/>
      <c r="U6" s="225"/>
      <c r="V6" s="226"/>
      <c r="W6" s="433">
        <f>SUM(C6,E6,G6,I6,K6,M6,O6,Q6,S6,U6)</f>
        <v>0</v>
      </c>
      <c r="X6" s="434">
        <f>SUM(D6,F6,H6,J6,L6,N6,P6,R6,T6,V6)</f>
        <v>0</v>
      </c>
      <c r="Y6" s="54">
        <f>'t1'!M6</f>
        <v>0</v>
      </c>
    </row>
    <row r="7" spans="1:25" ht="12.75" customHeight="1">
      <c r="A7" s="141" t="str">
        <f>'t1'!A7</f>
        <v>AVVOCATO GENERALE AGGIUNTO</v>
      </c>
      <c r="B7" s="210" t="str">
        <f>'t1'!B7</f>
        <v>0D0845</v>
      </c>
      <c r="C7" s="221"/>
      <c r="D7" s="222"/>
      <c r="E7" s="221"/>
      <c r="F7" s="222"/>
      <c r="G7" s="221"/>
      <c r="H7" s="222"/>
      <c r="I7" s="221"/>
      <c r="J7" s="222"/>
      <c r="K7" s="221"/>
      <c r="L7" s="222"/>
      <c r="M7" s="223"/>
      <c r="N7" s="224"/>
      <c r="O7" s="221"/>
      <c r="P7" s="222"/>
      <c r="Q7" s="221"/>
      <c r="R7" s="222"/>
      <c r="S7" s="225"/>
      <c r="T7" s="227"/>
      <c r="U7" s="225"/>
      <c r="V7" s="227"/>
      <c r="W7" s="433">
        <f aca="true" t="shared" si="0" ref="W7:W13">SUM(C7,E7,G7,I7,K7,M7,O7,Q7,S7,U7)</f>
        <v>0</v>
      </c>
      <c r="X7" s="435">
        <f aca="true" t="shared" si="1" ref="X7:X13">SUM(D7,F7,H7,J7,L7,N7,P7,R7,T7,V7)</f>
        <v>0</v>
      </c>
      <c r="Y7" s="54">
        <f>'t1'!M7</f>
        <v>0</v>
      </c>
    </row>
    <row r="8" spans="1:25" ht="12.75" customHeight="1">
      <c r="A8" s="141" t="str">
        <f>'t1'!A8</f>
        <v>AVVOCATO IV CLASSE</v>
      </c>
      <c r="B8" s="210" t="str">
        <f>'t1'!B8</f>
        <v>0D0380</v>
      </c>
      <c r="C8" s="221"/>
      <c r="D8" s="222"/>
      <c r="E8" s="221"/>
      <c r="F8" s="222"/>
      <c r="G8" s="221"/>
      <c r="H8" s="222"/>
      <c r="I8" s="221"/>
      <c r="J8" s="222"/>
      <c r="K8" s="221"/>
      <c r="L8" s="222"/>
      <c r="M8" s="223"/>
      <c r="N8" s="224"/>
      <c r="O8" s="221"/>
      <c r="P8" s="222"/>
      <c r="Q8" s="221"/>
      <c r="R8" s="222"/>
      <c r="S8" s="225"/>
      <c r="T8" s="227"/>
      <c r="U8" s="225"/>
      <c r="V8" s="227"/>
      <c r="W8" s="433">
        <f t="shared" si="0"/>
        <v>0</v>
      </c>
      <c r="X8" s="435">
        <f t="shared" si="1"/>
        <v>0</v>
      </c>
      <c r="Y8" s="54">
        <f>'t1'!M8</f>
        <v>0</v>
      </c>
    </row>
    <row r="9" spans="1:25" ht="12.75" customHeight="1">
      <c r="A9" s="141" t="str">
        <f>'t1'!A9</f>
        <v>AVVOCATO III CLASSE</v>
      </c>
      <c r="B9" s="210" t="str">
        <f>'t1'!B9</f>
        <v>0D0379</v>
      </c>
      <c r="C9" s="221"/>
      <c r="D9" s="222"/>
      <c r="E9" s="221"/>
      <c r="F9" s="222"/>
      <c r="G9" s="221"/>
      <c r="H9" s="222"/>
      <c r="I9" s="221"/>
      <c r="J9" s="222"/>
      <c r="K9" s="221"/>
      <c r="L9" s="222"/>
      <c r="M9" s="223"/>
      <c r="N9" s="224"/>
      <c r="O9" s="221"/>
      <c r="P9" s="222"/>
      <c r="Q9" s="221"/>
      <c r="R9" s="222"/>
      <c r="S9" s="225"/>
      <c r="T9" s="227"/>
      <c r="U9" s="225"/>
      <c r="V9" s="227"/>
      <c r="W9" s="433">
        <f t="shared" si="0"/>
        <v>0</v>
      </c>
      <c r="X9" s="435">
        <f t="shared" si="1"/>
        <v>0</v>
      </c>
      <c r="Y9" s="54">
        <f>'t1'!M9</f>
        <v>0</v>
      </c>
    </row>
    <row r="10" spans="1:25" ht="12.75" customHeight="1">
      <c r="A10" s="141" t="str">
        <f>'t1'!A10</f>
        <v>AVVOCATO II CLASSE ED EQUIP.</v>
      </c>
      <c r="B10" s="210" t="str">
        <f>'t1'!B10</f>
        <v>0D0A2E</v>
      </c>
      <c r="C10" s="221"/>
      <c r="D10" s="222"/>
      <c r="E10" s="221"/>
      <c r="F10" s="222"/>
      <c r="G10" s="221"/>
      <c r="H10" s="222"/>
      <c r="I10" s="221"/>
      <c r="J10" s="222"/>
      <c r="K10" s="221"/>
      <c r="L10" s="222"/>
      <c r="M10" s="223"/>
      <c r="N10" s="224"/>
      <c r="O10" s="221"/>
      <c r="P10" s="222"/>
      <c r="Q10" s="221"/>
      <c r="R10" s="222"/>
      <c r="S10" s="225"/>
      <c r="T10" s="227"/>
      <c r="U10" s="225"/>
      <c r="V10" s="227"/>
      <c r="W10" s="433">
        <f t="shared" si="0"/>
        <v>0</v>
      </c>
      <c r="X10" s="435">
        <f t="shared" si="1"/>
        <v>0</v>
      </c>
      <c r="Y10" s="54">
        <f>'t1'!M10</f>
        <v>0</v>
      </c>
    </row>
    <row r="11" spans="1:25" ht="12.75" customHeight="1">
      <c r="A11" s="141" t="str">
        <f>'t1'!A11</f>
        <v>AVVOCATO I CLASSE ED EQUIP.</v>
      </c>
      <c r="B11" s="210" t="str">
        <f>'t1'!B11</f>
        <v>0D0A1E</v>
      </c>
      <c r="C11" s="221"/>
      <c r="D11" s="222"/>
      <c r="E11" s="221"/>
      <c r="F11" s="222"/>
      <c r="G11" s="221"/>
      <c r="H11" s="222"/>
      <c r="I11" s="221"/>
      <c r="J11" s="222"/>
      <c r="K11" s="221"/>
      <c r="L11" s="222"/>
      <c r="M11" s="223"/>
      <c r="N11" s="224"/>
      <c r="O11" s="221"/>
      <c r="P11" s="222"/>
      <c r="Q11" s="221"/>
      <c r="R11" s="222"/>
      <c r="S11" s="225"/>
      <c r="T11" s="227"/>
      <c r="U11" s="225"/>
      <c r="V11" s="227"/>
      <c r="W11" s="433">
        <f t="shared" si="0"/>
        <v>0</v>
      </c>
      <c r="X11" s="435">
        <f t="shared" si="1"/>
        <v>0</v>
      </c>
      <c r="Y11" s="54">
        <f>'t1'!M11</f>
        <v>0</v>
      </c>
    </row>
    <row r="12" spans="1:25" ht="12.75" customHeight="1">
      <c r="A12" s="141" t="str">
        <f>'t1'!A12</f>
        <v>PROCURATORE II CLASSE</v>
      </c>
      <c r="B12" s="210" t="str">
        <f>'t1'!B12</f>
        <v>0D0383</v>
      </c>
      <c r="C12" s="221"/>
      <c r="D12" s="222"/>
      <c r="E12" s="221"/>
      <c r="F12" s="222"/>
      <c r="G12" s="221"/>
      <c r="H12" s="222"/>
      <c r="I12" s="221"/>
      <c r="J12" s="222"/>
      <c r="K12" s="221"/>
      <c r="L12" s="222"/>
      <c r="M12" s="223"/>
      <c r="N12" s="224"/>
      <c r="O12" s="221"/>
      <c r="P12" s="222"/>
      <c r="Q12" s="221"/>
      <c r="R12" s="222"/>
      <c r="S12" s="225"/>
      <c r="T12" s="227"/>
      <c r="U12" s="225"/>
      <c r="V12" s="227"/>
      <c r="W12" s="433">
        <f t="shared" si="0"/>
        <v>0</v>
      </c>
      <c r="X12" s="435">
        <f t="shared" si="1"/>
        <v>0</v>
      </c>
      <c r="Y12" s="54">
        <f>'t1'!M12</f>
        <v>0</v>
      </c>
    </row>
    <row r="13" spans="1:25" ht="12.75" customHeight="1" thickBot="1">
      <c r="A13" s="141" t="str">
        <f>'t1'!A13</f>
        <v>PROCURATORE I CLASSE</v>
      </c>
      <c r="B13" s="210" t="str">
        <f>'t1'!B13</f>
        <v>0D0382</v>
      </c>
      <c r="C13" s="221"/>
      <c r="D13" s="222"/>
      <c r="E13" s="221"/>
      <c r="F13" s="222"/>
      <c r="G13" s="221"/>
      <c r="H13" s="222"/>
      <c r="I13" s="221"/>
      <c r="J13" s="222"/>
      <c r="K13" s="221"/>
      <c r="L13" s="222"/>
      <c r="M13" s="223"/>
      <c r="N13" s="224"/>
      <c r="O13" s="221"/>
      <c r="P13" s="222"/>
      <c r="Q13" s="221"/>
      <c r="R13" s="222"/>
      <c r="S13" s="225"/>
      <c r="T13" s="227"/>
      <c r="U13" s="225"/>
      <c r="V13" s="227"/>
      <c r="W13" s="433">
        <f t="shared" si="0"/>
        <v>0</v>
      </c>
      <c r="X13" s="435">
        <f t="shared" si="1"/>
        <v>0</v>
      </c>
      <c r="Y13" s="54">
        <f>'t1'!M13</f>
        <v>0</v>
      </c>
    </row>
    <row r="14" spans="1:24" ht="17.25" customHeight="1" thickBot="1" thickTop="1">
      <c r="A14" s="68" t="s">
        <v>58</v>
      </c>
      <c r="B14" s="69"/>
      <c r="C14" s="430">
        <f aca="true" t="shared" si="2" ref="C14:X14">SUM(C6:C13)</f>
        <v>0</v>
      </c>
      <c r="D14" s="431">
        <f t="shared" si="2"/>
        <v>0</v>
      </c>
      <c r="E14" s="430">
        <f t="shared" si="2"/>
        <v>0</v>
      </c>
      <c r="F14" s="431">
        <f t="shared" si="2"/>
        <v>0</v>
      </c>
      <c r="G14" s="430">
        <f t="shared" si="2"/>
        <v>0</v>
      </c>
      <c r="H14" s="431">
        <f t="shared" si="2"/>
        <v>0</v>
      </c>
      <c r="I14" s="430">
        <f t="shared" si="2"/>
        <v>0</v>
      </c>
      <c r="J14" s="431">
        <f t="shared" si="2"/>
        <v>0</v>
      </c>
      <c r="K14" s="430">
        <f t="shared" si="2"/>
        <v>0</v>
      </c>
      <c r="L14" s="431">
        <f t="shared" si="2"/>
        <v>0</v>
      </c>
      <c r="M14" s="430">
        <f t="shared" si="2"/>
        <v>0</v>
      </c>
      <c r="N14" s="431">
        <f t="shared" si="2"/>
        <v>0</v>
      </c>
      <c r="O14" s="430">
        <f t="shared" si="2"/>
        <v>0</v>
      </c>
      <c r="P14" s="431">
        <f t="shared" si="2"/>
        <v>0</v>
      </c>
      <c r="Q14" s="430">
        <f t="shared" si="2"/>
        <v>0</v>
      </c>
      <c r="R14" s="431">
        <f t="shared" si="2"/>
        <v>0</v>
      </c>
      <c r="S14" s="430">
        <f t="shared" si="2"/>
        <v>0</v>
      </c>
      <c r="T14" s="431">
        <f t="shared" si="2"/>
        <v>0</v>
      </c>
      <c r="U14" s="430">
        <f t="shared" si="2"/>
        <v>0</v>
      </c>
      <c r="V14" s="431">
        <f t="shared" si="2"/>
        <v>0</v>
      </c>
      <c r="W14" s="430">
        <f t="shared" si="2"/>
        <v>0</v>
      </c>
      <c r="X14" s="432">
        <f t="shared" si="2"/>
        <v>0</v>
      </c>
    </row>
    <row r="15" spans="1:11" s="39" customFormat="1" ht="19.5" customHeight="1">
      <c r="A15" s="21"/>
      <c r="B15" s="7"/>
      <c r="C15" s="5"/>
      <c r="D15" s="5"/>
      <c r="E15" s="5"/>
      <c r="F15" s="5"/>
      <c r="G15" s="5"/>
      <c r="H15" s="5"/>
      <c r="I15" s="5"/>
      <c r="J15" s="5"/>
      <c r="K15" s="74"/>
    </row>
    <row r="16" spans="1:2" s="5" customFormat="1" ht="9.75">
      <c r="A16" s="21"/>
      <c r="B16" s="7"/>
    </row>
  </sheetData>
  <sheetProtection password="EA98" sheet="1" formatColumns="0" selectLockedCells="1"/>
  <mergeCells count="12">
    <mergeCell ref="U4:V4"/>
    <mergeCell ref="K4:L4"/>
    <mergeCell ref="S4:T4"/>
    <mergeCell ref="M4:N4"/>
    <mergeCell ref="O4:P4"/>
    <mergeCell ref="Q4:R4"/>
    <mergeCell ref="A1:V1"/>
    <mergeCell ref="C4:D4"/>
    <mergeCell ref="E4:F4"/>
    <mergeCell ref="G4:H4"/>
    <mergeCell ref="I4:J4"/>
    <mergeCell ref="P2:X2"/>
  </mergeCells>
  <conditionalFormatting sqref="A6:X13">
    <cfRule type="expression" priority="1" dxfId="4"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C17"/>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38.5" style="39" customWidth="1"/>
    <col min="2" max="2" width="8.16015625" style="41" bestFit="1" customWidth="1"/>
    <col min="3" max="28" width="7.66015625" style="39" customWidth="1"/>
    <col min="29" max="29" width="0" style="39" hidden="1" customWidth="1"/>
    <col min="30" max="16384" width="10.66015625" style="39" customWidth="1"/>
  </cols>
  <sheetData>
    <row r="1" spans="1:28" s="5" customFormat="1" ht="43.5" customHeight="1">
      <c r="A1" s="882" t="str">
        <f>'t1'!A1</f>
        <v>AVVOCATURA DI STATO - anno 2021</v>
      </c>
      <c r="B1" s="882"/>
      <c r="C1" s="882"/>
      <c r="D1" s="882"/>
      <c r="E1" s="882"/>
      <c r="F1" s="882"/>
      <c r="G1" s="882"/>
      <c r="H1" s="882"/>
      <c r="I1" s="882"/>
      <c r="J1" s="882"/>
      <c r="K1" s="882"/>
      <c r="L1" s="882"/>
      <c r="M1" s="882"/>
      <c r="N1" s="882"/>
      <c r="O1" s="882"/>
      <c r="P1" s="882"/>
      <c r="Q1" s="882"/>
      <c r="R1" s="882"/>
      <c r="S1" s="882"/>
      <c r="T1" s="882"/>
      <c r="U1" s="882"/>
      <c r="V1" s="882"/>
      <c r="W1" s="882"/>
      <c r="X1" s="882"/>
      <c r="Y1" s="882"/>
      <c r="AB1" s="295"/>
    </row>
    <row r="2" spans="1:28" ht="30" customHeight="1" thickBot="1">
      <c r="A2" s="40"/>
      <c r="S2" s="883"/>
      <c r="T2" s="883"/>
      <c r="U2" s="883"/>
      <c r="V2" s="883"/>
      <c r="W2" s="883"/>
      <c r="X2" s="883"/>
      <c r="Y2" s="883"/>
      <c r="Z2" s="883"/>
      <c r="AA2" s="883"/>
      <c r="AB2" s="883"/>
    </row>
    <row r="3" spans="1:28" ht="16.5" customHeight="1" thickBot="1">
      <c r="A3" s="42"/>
      <c r="B3" s="43"/>
      <c r="C3" s="44" t="s">
        <v>226</v>
      </c>
      <c r="D3" s="45"/>
      <c r="E3" s="45"/>
      <c r="F3" s="45"/>
      <c r="G3" s="45"/>
      <c r="H3" s="45"/>
      <c r="I3" s="45"/>
      <c r="J3" s="45"/>
      <c r="K3" s="45"/>
      <c r="L3" s="45"/>
      <c r="M3" s="45"/>
      <c r="N3" s="45"/>
      <c r="O3" s="45"/>
      <c r="P3" s="45"/>
      <c r="Q3" s="45"/>
      <c r="R3" s="45"/>
      <c r="S3" s="45"/>
      <c r="T3" s="45"/>
      <c r="U3" s="45"/>
      <c r="V3" s="45"/>
      <c r="W3" s="45"/>
      <c r="X3" s="46"/>
      <c r="Y3" s="45"/>
      <c r="Z3" s="46"/>
      <c r="AA3" s="45"/>
      <c r="AB3" s="46"/>
    </row>
    <row r="4" spans="1:28" ht="25.5" customHeight="1" thickTop="1">
      <c r="A4" s="262" t="s">
        <v>122</v>
      </c>
      <c r="B4" s="47" t="s">
        <v>55</v>
      </c>
      <c r="C4" s="914" t="s">
        <v>156</v>
      </c>
      <c r="D4" s="915"/>
      <c r="E4" s="914" t="s">
        <v>157</v>
      </c>
      <c r="F4" s="915"/>
      <c r="G4" s="914" t="s">
        <v>65</v>
      </c>
      <c r="H4" s="915"/>
      <c r="I4" s="914" t="s">
        <v>66</v>
      </c>
      <c r="J4" s="915"/>
      <c r="K4" s="914" t="s">
        <v>67</v>
      </c>
      <c r="L4" s="915"/>
      <c r="M4" s="914" t="s">
        <v>68</v>
      </c>
      <c r="N4" s="915"/>
      <c r="O4" s="914" t="s">
        <v>69</v>
      </c>
      <c r="P4" s="915"/>
      <c r="Q4" s="914" t="s">
        <v>70</v>
      </c>
      <c r="R4" s="915"/>
      <c r="S4" s="914" t="s">
        <v>71</v>
      </c>
      <c r="T4" s="915"/>
      <c r="U4" s="914" t="s">
        <v>72</v>
      </c>
      <c r="V4" s="915"/>
      <c r="W4" s="914" t="s">
        <v>347</v>
      </c>
      <c r="X4" s="915"/>
      <c r="Y4" s="914" t="s">
        <v>348</v>
      </c>
      <c r="Z4" s="918"/>
      <c r="AA4" s="916" t="s">
        <v>58</v>
      </c>
      <c r="AB4" s="917"/>
    </row>
    <row r="5" spans="1:28" ht="10.5" thickBot="1">
      <c r="A5" s="736" t="s">
        <v>478</v>
      </c>
      <c r="B5" s="48"/>
      <c r="C5" s="49" t="s">
        <v>73</v>
      </c>
      <c r="D5" s="50" t="s">
        <v>74</v>
      </c>
      <c r="E5" s="49" t="s">
        <v>73</v>
      </c>
      <c r="F5" s="50" t="s">
        <v>74</v>
      </c>
      <c r="G5" s="49" t="s">
        <v>73</v>
      </c>
      <c r="H5" s="50" t="s">
        <v>74</v>
      </c>
      <c r="I5" s="49" t="s">
        <v>73</v>
      </c>
      <c r="J5" s="50" t="s">
        <v>74</v>
      </c>
      <c r="K5" s="49" t="s">
        <v>73</v>
      </c>
      <c r="L5" s="50" t="s">
        <v>74</v>
      </c>
      <c r="M5" s="49" t="s">
        <v>73</v>
      </c>
      <c r="N5" s="50" t="s">
        <v>74</v>
      </c>
      <c r="O5" s="49" t="s">
        <v>73</v>
      </c>
      <c r="P5" s="50" t="s">
        <v>74</v>
      </c>
      <c r="Q5" s="49" t="s">
        <v>73</v>
      </c>
      <c r="R5" s="50" t="s">
        <v>74</v>
      </c>
      <c r="S5" s="49" t="s">
        <v>73</v>
      </c>
      <c r="T5" s="50" t="s">
        <v>74</v>
      </c>
      <c r="U5" s="49" t="s">
        <v>73</v>
      </c>
      <c r="V5" s="50" t="s">
        <v>74</v>
      </c>
      <c r="W5" s="49" t="s">
        <v>73</v>
      </c>
      <c r="X5" s="51" t="s">
        <v>74</v>
      </c>
      <c r="Y5" s="49" t="s">
        <v>73</v>
      </c>
      <c r="Z5" s="51" t="s">
        <v>74</v>
      </c>
      <c r="AA5" s="49" t="s">
        <v>73</v>
      </c>
      <c r="AB5" s="51" t="s">
        <v>74</v>
      </c>
    </row>
    <row r="6" spans="1:29" ht="13.5" customHeight="1" thickTop="1">
      <c r="A6" s="20" t="str">
        <f>'t1'!A6</f>
        <v>AVVOCATO GENERALE</v>
      </c>
      <c r="B6" s="217" t="str">
        <f>'t1'!B6</f>
        <v>0D0381</v>
      </c>
      <c r="C6" s="239"/>
      <c r="D6" s="240"/>
      <c r="E6" s="241"/>
      <c r="F6" s="240"/>
      <c r="G6" s="239"/>
      <c r="H6" s="240"/>
      <c r="I6" s="239"/>
      <c r="J6" s="240"/>
      <c r="K6" s="239"/>
      <c r="L6" s="240"/>
      <c r="M6" s="239"/>
      <c r="N6" s="240"/>
      <c r="O6" s="241"/>
      <c r="P6" s="242"/>
      <c r="Q6" s="239"/>
      <c r="R6" s="240"/>
      <c r="S6" s="239"/>
      <c r="T6" s="240"/>
      <c r="U6" s="239"/>
      <c r="V6" s="240"/>
      <c r="W6" s="243"/>
      <c r="X6" s="244"/>
      <c r="Y6" s="243"/>
      <c r="Z6" s="244"/>
      <c r="AA6" s="436">
        <f>SUM(C6,E6,G6,I6,K6,M6,O6,Q6,S6,U6,W6,Y6)</f>
        <v>0</v>
      </c>
      <c r="AB6" s="437">
        <f>SUM(D6,F6,H6,J6,L6,N6,P6,R6,T6,V6,X6,Z6)</f>
        <v>0</v>
      </c>
      <c r="AC6" s="39">
        <f>'t1'!M6</f>
        <v>0</v>
      </c>
    </row>
    <row r="7" spans="1:29" ht="13.5" customHeight="1">
      <c r="A7" s="141" t="str">
        <f>'t1'!A7</f>
        <v>AVVOCATO GENERALE AGGIUNTO</v>
      </c>
      <c r="B7" s="210" t="str">
        <f>'t1'!B7</f>
        <v>0D0845</v>
      </c>
      <c r="C7" s="239"/>
      <c r="D7" s="240"/>
      <c r="E7" s="241"/>
      <c r="F7" s="240"/>
      <c r="G7" s="239"/>
      <c r="H7" s="240"/>
      <c r="I7" s="239"/>
      <c r="J7" s="240"/>
      <c r="K7" s="239"/>
      <c r="L7" s="240"/>
      <c r="M7" s="239"/>
      <c r="N7" s="240"/>
      <c r="O7" s="241"/>
      <c r="P7" s="242"/>
      <c r="Q7" s="239"/>
      <c r="R7" s="240"/>
      <c r="S7" s="239"/>
      <c r="T7" s="240"/>
      <c r="U7" s="239"/>
      <c r="V7" s="240"/>
      <c r="W7" s="243"/>
      <c r="X7" s="240"/>
      <c r="Y7" s="243"/>
      <c r="Z7" s="240"/>
      <c r="AA7" s="438">
        <f aca="true" t="shared" si="0" ref="AA7:AA13">SUM(C7,E7,G7,I7,K7,M7,O7,Q7,S7,U7,W7,Y7)</f>
        <v>0</v>
      </c>
      <c r="AB7" s="439">
        <f aca="true" t="shared" si="1" ref="AB7:AB13">SUM(D7,F7,H7,J7,L7,N7,P7,R7,T7,V7,X7,Z7)</f>
        <v>0</v>
      </c>
      <c r="AC7" s="39">
        <f>'t1'!M7</f>
        <v>0</v>
      </c>
    </row>
    <row r="8" spans="1:29" ht="13.5" customHeight="1">
      <c r="A8" s="141" t="str">
        <f>'t1'!A8</f>
        <v>AVVOCATO IV CLASSE</v>
      </c>
      <c r="B8" s="210" t="str">
        <f>'t1'!B8</f>
        <v>0D0380</v>
      </c>
      <c r="C8" s="239"/>
      <c r="D8" s="240"/>
      <c r="E8" s="241"/>
      <c r="F8" s="240"/>
      <c r="G8" s="239"/>
      <c r="H8" s="240"/>
      <c r="I8" s="239"/>
      <c r="J8" s="240"/>
      <c r="K8" s="239"/>
      <c r="L8" s="240"/>
      <c r="M8" s="239"/>
      <c r="N8" s="240"/>
      <c r="O8" s="241"/>
      <c r="P8" s="242"/>
      <c r="Q8" s="239"/>
      <c r="R8" s="240"/>
      <c r="S8" s="239"/>
      <c r="T8" s="240"/>
      <c r="U8" s="239"/>
      <c r="V8" s="240"/>
      <c r="W8" s="243"/>
      <c r="X8" s="240"/>
      <c r="Y8" s="243"/>
      <c r="Z8" s="240"/>
      <c r="AA8" s="438">
        <f t="shared" si="0"/>
        <v>0</v>
      </c>
      <c r="AB8" s="439">
        <f t="shared" si="1"/>
        <v>0</v>
      </c>
      <c r="AC8" s="39">
        <f>'t1'!M8</f>
        <v>0</v>
      </c>
    </row>
    <row r="9" spans="1:29" ht="13.5" customHeight="1">
      <c r="A9" s="141" t="str">
        <f>'t1'!A9</f>
        <v>AVVOCATO III CLASSE</v>
      </c>
      <c r="B9" s="210" t="str">
        <f>'t1'!B9</f>
        <v>0D0379</v>
      </c>
      <c r="C9" s="239"/>
      <c r="D9" s="240"/>
      <c r="E9" s="241"/>
      <c r="F9" s="240"/>
      <c r="G9" s="239"/>
      <c r="H9" s="240"/>
      <c r="I9" s="239"/>
      <c r="J9" s="240"/>
      <c r="K9" s="239"/>
      <c r="L9" s="240"/>
      <c r="M9" s="239"/>
      <c r="N9" s="240"/>
      <c r="O9" s="241"/>
      <c r="P9" s="242"/>
      <c r="Q9" s="239"/>
      <c r="R9" s="240"/>
      <c r="S9" s="239"/>
      <c r="T9" s="240"/>
      <c r="U9" s="239"/>
      <c r="V9" s="240"/>
      <c r="W9" s="243"/>
      <c r="X9" s="240"/>
      <c r="Y9" s="243"/>
      <c r="Z9" s="240"/>
      <c r="AA9" s="438">
        <f t="shared" si="0"/>
        <v>0</v>
      </c>
      <c r="AB9" s="439">
        <f t="shared" si="1"/>
        <v>0</v>
      </c>
      <c r="AC9" s="39">
        <f>'t1'!M9</f>
        <v>0</v>
      </c>
    </row>
    <row r="10" spans="1:29" ht="13.5" customHeight="1">
      <c r="A10" s="141" t="str">
        <f>'t1'!A10</f>
        <v>AVVOCATO II CLASSE ED EQUIP.</v>
      </c>
      <c r="B10" s="210" t="str">
        <f>'t1'!B10</f>
        <v>0D0A2E</v>
      </c>
      <c r="C10" s="239"/>
      <c r="D10" s="240"/>
      <c r="E10" s="241"/>
      <c r="F10" s="240"/>
      <c r="G10" s="239"/>
      <c r="H10" s="240"/>
      <c r="I10" s="239"/>
      <c r="J10" s="240"/>
      <c r="K10" s="239"/>
      <c r="L10" s="240"/>
      <c r="M10" s="239"/>
      <c r="N10" s="240"/>
      <c r="O10" s="241"/>
      <c r="P10" s="242"/>
      <c r="Q10" s="239"/>
      <c r="R10" s="240"/>
      <c r="S10" s="239"/>
      <c r="T10" s="240"/>
      <c r="U10" s="239"/>
      <c r="V10" s="240"/>
      <c r="W10" s="243"/>
      <c r="X10" s="240"/>
      <c r="Y10" s="243"/>
      <c r="Z10" s="240"/>
      <c r="AA10" s="438">
        <f t="shared" si="0"/>
        <v>0</v>
      </c>
      <c r="AB10" s="439">
        <f t="shared" si="1"/>
        <v>0</v>
      </c>
      <c r="AC10" s="39">
        <f>'t1'!M10</f>
        <v>0</v>
      </c>
    </row>
    <row r="11" spans="1:29" ht="13.5" customHeight="1">
      <c r="A11" s="141" t="str">
        <f>'t1'!A11</f>
        <v>AVVOCATO I CLASSE ED EQUIP.</v>
      </c>
      <c r="B11" s="210" t="str">
        <f>'t1'!B11</f>
        <v>0D0A1E</v>
      </c>
      <c r="C11" s="239"/>
      <c r="D11" s="240"/>
      <c r="E11" s="241"/>
      <c r="F11" s="240"/>
      <c r="G11" s="239"/>
      <c r="H11" s="240"/>
      <c r="I11" s="239"/>
      <c r="J11" s="240"/>
      <c r="K11" s="239"/>
      <c r="L11" s="240"/>
      <c r="M11" s="239"/>
      <c r="N11" s="240"/>
      <c r="O11" s="241"/>
      <c r="P11" s="242"/>
      <c r="Q11" s="239"/>
      <c r="R11" s="240"/>
      <c r="S11" s="239"/>
      <c r="T11" s="240"/>
      <c r="U11" s="239"/>
      <c r="V11" s="240"/>
      <c r="W11" s="243"/>
      <c r="X11" s="240"/>
      <c r="Y11" s="243"/>
      <c r="Z11" s="240"/>
      <c r="AA11" s="438">
        <f t="shared" si="0"/>
        <v>0</v>
      </c>
      <c r="AB11" s="439">
        <f t="shared" si="1"/>
        <v>0</v>
      </c>
      <c r="AC11" s="39">
        <f>'t1'!M11</f>
        <v>0</v>
      </c>
    </row>
    <row r="12" spans="1:29" ht="13.5" customHeight="1">
      <c r="A12" s="141" t="str">
        <f>'t1'!A12</f>
        <v>PROCURATORE II CLASSE</v>
      </c>
      <c r="B12" s="210" t="str">
        <f>'t1'!B12</f>
        <v>0D0383</v>
      </c>
      <c r="C12" s="239"/>
      <c r="D12" s="240"/>
      <c r="E12" s="241"/>
      <c r="F12" s="240"/>
      <c r="G12" s="239"/>
      <c r="H12" s="240"/>
      <c r="I12" s="239"/>
      <c r="J12" s="240"/>
      <c r="K12" s="239"/>
      <c r="L12" s="240"/>
      <c r="M12" s="239"/>
      <c r="N12" s="240"/>
      <c r="O12" s="241"/>
      <c r="P12" s="242"/>
      <c r="Q12" s="239"/>
      <c r="R12" s="240"/>
      <c r="S12" s="239"/>
      <c r="T12" s="240"/>
      <c r="U12" s="239"/>
      <c r="V12" s="240"/>
      <c r="W12" s="243"/>
      <c r="X12" s="240"/>
      <c r="Y12" s="243"/>
      <c r="Z12" s="240"/>
      <c r="AA12" s="438">
        <f t="shared" si="0"/>
        <v>0</v>
      </c>
      <c r="AB12" s="439">
        <f t="shared" si="1"/>
        <v>0</v>
      </c>
      <c r="AC12" s="39">
        <f>'t1'!M12</f>
        <v>0</v>
      </c>
    </row>
    <row r="13" spans="1:29" ht="13.5" customHeight="1" thickBot="1">
      <c r="A13" s="141" t="str">
        <f>'t1'!A13</f>
        <v>PROCURATORE I CLASSE</v>
      </c>
      <c r="B13" s="210" t="str">
        <f>'t1'!B13</f>
        <v>0D0382</v>
      </c>
      <c r="C13" s="239"/>
      <c r="D13" s="240"/>
      <c r="E13" s="241"/>
      <c r="F13" s="240"/>
      <c r="G13" s="239"/>
      <c r="H13" s="240"/>
      <c r="I13" s="239"/>
      <c r="J13" s="240"/>
      <c r="K13" s="239"/>
      <c r="L13" s="240"/>
      <c r="M13" s="239"/>
      <c r="N13" s="240"/>
      <c r="O13" s="241"/>
      <c r="P13" s="242"/>
      <c r="Q13" s="239"/>
      <c r="R13" s="240"/>
      <c r="S13" s="239"/>
      <c r="T13" s="240"/>
      <c r="U13" s="239"/>
      <c r="V13" s="240"/>
      <c r="W13" s="243"/>
      <c r="X13" s="240"/>
      <c r="Y13" s="243"/>
      <c r="Z13" s="240"/>
      <c r="AA13" s="438">
        <f t="shared" si="0"/>
        <v>0</v>
      </c>
      <c r="AB13" s="439">
        <f t="shared" si="1"/>
        <v>0</v>
      </c>
      <c r="AC13" s="39">
        <f>'t1'!M13</f>
        <v>0</v>
      </c>
    </row>
    <row r="14" spans="1:28" ht="16.5" customHeight="1" thickBot="1" thickTop="1">
      <c r="A14" s="52" t="s">
        <v>58</v>
      </c>
      <c r="B14" s="53"/>
      <c r="C14" s="440">
        <f aca="true" t="shared" si="2" ref="C14:AB14">SUM(C6:C13)</f>
        <v>0</v>
      </c>
      <c r="D14" s="442">
        <f t="shared" si="2"/>
        <v>0</v>
      </c>
      <c r="E14" s="440">
        <f t="shared" si="2"/>
        <v>0</v>
      </c>
      <c r="F14" s="442">
        <f t="shared" si="2"/>
        <v>0</v>
      </c>
      <c r="G14" s="440">
        <f t="shared" si="2"/>
        <v>0</v>
      </c>
      <c r="H14" s="442">
        <f t="shared" si="2"/>
        <v>0</v>
      </c>
      <c r="I14" s="440">
        <f t="shared" si="2"/>
        <v>0</v>
      </c>
      <c r="J14" s="442">
        <f t="shared" si="2"/>
        <v>0</v>
      </c>
      <c r="K14" s="440">
        <f t="shared" si="2"/>
        <v>0</v>
      </c>
      <c r="L14" s="442">
        <f t="shared" si="2"/>
        <v>0</v>
      </c>
      <c r="M14" s="440">
        <f t="shared" si="2"/>
        <v>0</v>
      </c>
      <c r="N14" s="442">
        <f t="shared" si="2"/>
        <v>0</v>
      </c>
      <c r="O14" s="440">
        <f t="shared" si="2"/>
        <v>0</v>
      </c>
      <c r="P14" s="442">
        <f t="shared" si="2"/>
        <v>0</v>
      </c>
      <c r="Q14" s="440">
        <f t="shared" si="2"/>
        <v>0</v>
      </c>
      <c r="R14" s="442">
        <f t="shared" si="2"/>
        <v>0</v>
      </c>
      <c r="S14" s="440">
        <f t="shared" si="2"/>
        <v>0</v>
      </c>
      <c r="T14" s="442">
        <f t="shared" si="2"/>
        <v>0</v>
      </c>
      <c r="U14" s="440">
        <f t="shared" si="2"/>
        <v>0</v>
      </c>
      <c r="V14" s="442">
        <f t="shared" si="2"/>
        <v>0</v>
      </c>
      <c r="W14" s="440">
        <f t="shared" si="2"/>
        <v>0</v>
      </c>
      <c r="X14" s="442">
        <f t="shared" si="2"/>
        <v>0</v>
      </c>
      <c r="Y14" s="440">
        <f t="shared" si="2"/>
        <v>0</v>
      </c>
      <c r="Z14" s="442">
        <f t="shared" si="2"/>
        <v>0</v>
      </c>
      <c r="AA14" s="440">
        <f t="shared" si="2"/>
        <v>0</v>
      </c>
      <c r="AB14" s="441">
        <f t="shared" si="2"/>
        <v>0</v>
      </c>
    </row>
    <row r="15" spans="1:28" ht="8.25" customHeight="1">
      <c r="A15" s="144"/>
      <c r="B15" s="145"/>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row>
    <row r="16" spans="1:13" ht="9.75">
      <c r="A16" s="21"/>
      <c r="B16" s="7"/>
      <c r="C16" s="5"/>
      <c r="D16" s="5"/>
      <c r="E16" s="5"/>
      <c r="F16" s="5"/>
      <c r="G16" s="5"/>
      <c r="H16" s="5"/>
      <c r="I16" s="5"/>
      <c r="J16" s="5"/>
      <c r="K16" s="5"/>
      <c r="L16" s="5"/>
      <c r="M16" s="74"/>
    </row>
    <row r="17" spans="1:2" s="5" customFormat="1" ht="9.75">
      <c r="A17" s="21"/>
      <c r="B17" s="7"/>
    </row>
  </sheetData>
  <sheetProtection password="EA98" sheet="1" formatColumns="0" selectLockedCells="1"/>
  <mergeCells count="15">
    <mergeCell ref="E4:F4"/>
    <mergeCell ref="AA4:AB4"/>
    <mergeCell ref="U4:V4"/>
    <mergeCell ref="Y4:Z4"/>
    <mergeCell ref="W4:X4"/>
    <mergeCell ref="A1:Y1"/>
    <mergeCell ref="S2:AB2"/>
    <mergeCell ref="M4:N4"/>
    <mergeCell ref="C4:D4"/>
    <mergeCell ref="G4:H4"/>
    <mergeCell ref="I4:J4"/>
    <mergeCell ref="K4:L4"/>
    <mergeCell ref="O4:P4"/>
    <mergeCell ref="Q4:R4"/>
    <mergeCell ref="S4:T4"/>
  </mergeCells>
  <conditionalFormatting sqref="A6:AB13">
    <cfRule type="expression" priority="1" dxfId="4"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1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35.66015625" style="31" customWidth="1"/>
    <col min="2" max="2" width="10.83203125" style="31" customWidth="1"/>
    <col min="3" max="16" width="11.66015625" style="31" customWidth="1"/>
    <col min="17" max="17" width="0" style="31" hidden="1" customWidth="1"/>
    <col min="18" max="16384" width="10.66015625" style="31" customWidth="1"/>
  </cols>
  <sheetData>
    <row r="1" spans="1:17" s="5" customFormat="1" ht="43.5" customHeight="1">
      <c r="A1" s="882" t="str">
        <f>'t1'!A1</f>
        <v>AVVOCATURA DI STATO - anno 2021</v>
      </c>
      <c r="B1" s="882"/>
      <c r="C1" s="882"/>
      <c r="D1" s="882"/>
      <c r="E1" s="882"/>
      <c r="F1" s="882"/>
      <c r="G1" s="882"/>
      <c r="H1" s="882"/>
      <c r="I1" s="882"/>
      <c r="J1" s="882"/>
      <c r="K1" s="882"/>
      <c r="L1" s="882"/>
      <c r="M1" s="882"/>
      <c r="N1" s="882"/>
      <c r="O1" s="3"/>
      <c r="P1" s="295"/>
      <c r="Q1"/>
    </row>
    <row r="2" spans="1:17" s="5" customFormat="1" ht="5.25" customHeight="1">
      <c r="A2" s="330"/>
      <c r="B2" s="330"/>
      <c r="C2" s="330"/>
      <c r="D2" s="330"/>
      <c r="E2" s="330"/>
      <c r="F2" s="330"/>
      <c r="G2" s="330"/>
      <c r="H2" s="330"/>
      <c r="I2" s="330"/>
      <c r="J2" s="330"/>
      <c r="K2" s="330"/>
      <c r="L2" s="330"/>
      <c r="M2" s="330"/>
      <c r="N2" s="330"/>
      <c r="O2" s="3"/>
      <c r="P2" s="295"/>
      <c r="Q2"/>
    </row>
    <row r="3" spans="13:16" ht="30" customHeight="1" thickBot="1">
      <c r="M3" s="883"/>
      <c r="N3" s="883"/>
      <c r="O3" s="883"/>
      <c r="P3" s="883"/>
    </row>
    <row r="4" spans="1:16" ht="24.75" customHeight="1">
      <c r="A4" s="261" t="s">
        <v>122</v>
      </c>
      <c r="B4" s="245" t="s">
        <v>55</v>
      </c>
      <c r="C4" s="921" t="s">
        <v>62</v>
      </c>
      <c r="D4" s="922"/>
      <c r="E4" s="921" t="s">
        <v>63</v>
      </c>
      <c r="F4" s="922"/>
      <c r="G4" s="919" t="s">
        <v>50</v>
      </c>
      <c r="H4" s="920"/>
      <c r="I4" s="919" t="s">
        <v>64</v>
      </c>
      <c r="J4" s="920"/>
      <c r="K4" s="919" t="s">
        <v>51</v>
      </c>
      <c r="L4" s="920"/>
      <c r="M4" s="919" t="s">
        <v>52</v>
      </c>
      <c r="N4" s="920"/>
      <c r="O4" s="503" t="s">
        <v>58</v>
      </c>
      <c r="P4" s="504"/>
    </row>
    <row r="5" spans="1:16" ht="14.25" customHeight="1" thickBot="1">
      <c r="A5" s="735" t="s">
        <v>478</v>
      </c>
      <c r="B5" s="32"/>
      <c r="C5" s="33" t="s">
        <v>56</v>
      </c>
      <c r="D5" s="34" t="s">
        <v>57</v>
      </c>
      <c r="E5" s="33" t="s">
        <v>56</v>
      </c>
      <c r="F5" s="34" t="s">
        <v>57</v>
      </c>
      <c r="G5" s="33" t="s">
        <v>56</v>
      </c>
      <c r="H5" s="35" t="s">
        <v>57</v>
      </c>
      <c r="I5" s="33" t="s">
        <v>56</v>
      </c>
      <c r="J5" s="35" t="s">
        <v>57</v>
      </c>
      <c r="K5" s="33" t="s">
        <v>56</v>
      </c>
      <c r="L5" s="36" t="s">
        <v>57</v>
      </c>
      <c r="M5" s="33" t="s">
        <v>56</v>
      </c>
      <c r="N5" s="36" t="s">
        <v>57</v>
      </c>
      <c r="O5" s="506" t="s">
        <v>56</v>
      </c>
      <c r="P5" s="507" t="s">
        <v>57</v>
      </c>
    </row>
    <row r="6" spans="1:17" ht="13.5" customHeight="1" thickTop="1">
      <c r="A6" s="20" t="str">
        <f>'t1'!A6</f>
        <v>AVVOCATO GENERALE</v>
      </c>
      <c r="B6" s="217" t="str">
        <f>'t1'!B6</f>
        <v>0D0381</v>
      </c>
      <c r="C6" s="312"/>
      <c r="D6" s="313"/>
      <c r="E6" s="312"/>
      <c r="F6" s="313"/>
      <c r="G6" s="312"/>
      <c r="H6" s="314"/>
      <c r="I6" s="499"/>
      <c r="J6" s="314"/>
      <c r="K6" s="499"/>
      <c r="L6" s="314"/>
      <c r="M6" s="315"/>
      <c r="N6" s="316"/>
      <c r="O6" s="505">
        <f>SUM(C6,E6,G6,I6,K6,M6)</f>
        <v>0</v>
      </c>
      <c r="P6" s="508">
        <f>SUM(D6,F6,H6,J6,L6,N6)</f>
        <v>0</v>
      </c>
      <c r="Q6" s="31">
        <f>'t1'!M6</f>
        <v>0</v>
      </c>
    </row>
    <row r="7" spans="1:17" ht="13.5" customHeight="1">
      <c r="A7" s="141" t="str">
        <f>'t1'!A7</f>
        <v>AVVOCATO GENERALE AGGIUNTO</v>
      </c>
      <c r="B7" s="210" t="str">
        <f>'t1'!B7</f>
        <v>0D0845</v>
      </c>
      <c r="C7" s="317"/>
      <c r="D7" s="318"/>
      <c r="E7" s="317"/>
      <c r="F7" s="318"/>
      <c r="G7" s="317"/>
      <c r="H7" s="319"/>
      <c r="I7" s="500"/>
      <c r="J7" s="319"/>
      <c r="K7" s="500"/>
      <c r="L7" s="319"/>
      <c r="M7" s="320"/>
      <c r="N7" s="321"/>
      <c r="O7" s="443">
        <f aca="true" t="shared" si="0" ref="O7:O13">SUM(C7,E7,G7,I7,K7,M7)</f>
        <v>0</v>
      </c>
      <c r="P7" s="444">
        <f aca="true" t="shared" si="1" ref="P7:P13">SUM(D7,F7,H7,J7,L7,N7)</f>
        <v>0</v>
      </c>
      <c r="Q7" s="31">
        <f>'t1'!M7</f>
        <v>0</v>
      </c>
    </row>
    <row r="8" spans="1:17" ht="13.5" customHeight="1">
      <c r="A8" s="141" t="str">
        <f>'t1'!A8</f>
        <v>AVVOCATO IV CLASSE</v>
      </c>
      <c r="B8" s="210" t="str">
        <f>'t1'!B8</f>
        <v>0D0380</v>
      </c>
      <c r="C8" s="317"/>
      <c r="D8" s="318"/>
      <c r="E8" s="317"/>
      <c r="F8" s="318"/>
      <c r="G8" s="317"/>
      <c r="H8" s="319"/>
      <c r="I8" s="500"/>
      <c r="J8" s="319"/>
      <c r="K8" s="500"/>
      <c r="L8" s="319"/>
      <c r="M8" s="320"/>
      <c r="N8" s="321"/>
      <c r="O8" s="443">
        <f t="shared" si="0"/>
        <v>0</v>
      </c>
      <c r="P8" s="444">
        <f t="shared" si="1"/>
        <v>0</v>
      </c>
      <c r="Q8" s="31">
        <f>'t1'!M8</f>
        <v>0</v>
      </c>
    </row>
    <row r="9" spans="1:17" ht="13.5" customHeight="1">
      <c r="A9" s="141" t="str">
        <f>'t1'!A9</f>
        <v>AVVOCATO III CLASSE</v>
      </c>
      <c r="B9" s="210" t="str">
        <f>'t1'!B9</f>
        <v>0D0379</v>
      </c>
      <c r="C9" s="317"/>
      <c r="D9" s="318"/>
      <c r="E9" s="317"/>
      <c r="F9" s="318"/>
      <c r="G9" s="317"/>
      <c r="H9" s="319"/>
      <c r="I9" s="500"/>
      <c r="J9" s="319"/>
      <c r="K9" s="500"/>
      <c r="L9" s="319"/>
      <c r="M9" s="320"/>
      <c r="N9" s="321"/>
      <c r="O9" s="443">
        <f t="shared" si="0"/>
        <v>0</v>
      </c>
      <c r="P9" s="444">
        <f t="shared" si="1"/>
        <v>0</v>
      </c>
      <c r="Q9" s="31">
        <f>'t1'!M9</f>
        <v>0</v>
      </c>
    </row>
    <row r="10" spans="1:17" ht="13.5" customHeight="1">
      <c r="A10" s="141" t="str">
        <f>'t1'!A10</f>
        <v>AVVOCATO II CLASSE ED EQUIP.</v>
      </c>
      <c r="B10" s="210" t="str">
        <f>'t1'!B10</f>
        <v>0D0A2E</v>
      </c>
      <c r="C10" s="317"/>
      <c r="D10" s="318"/>
      <c r="E10" s="317"/>
      <c r="F10" s="318"/>
      <c r="G10" s="317"/>
      <c r="H10" s="319"/>
      <c r="I10" s="500"/>
      <c r="J10" s="319"/>
      <c r="K10" s="500"/>
      <c r="L10" s="319"/>
      <c r="M10" s="320"/>
      <c r="N10" s="321"/>
      <c r="O10" s="443">
        <f t="shared" si="0"/>
        <v>0</v>
      </c>
      <c r="P10" s="444">
        <f t="shared" si="1"/>
        <v>0</v>
      </c>
      <c r="Q10" s="31">
        <f>'t1'!M10</f>
        <v>0</v>
      </c>
    </row>
    <row r="11" spans="1:17" ht="13.5" customHeight="1">
      <c r="A11" s="141" t="str">
        <f>'t1'!A11</f>
        <v>AVVOCATO I CLASSE ED EQUIP.</v>
      </c>
      <c r="B11" s="210" t="str">
        <f>'t1'!B11</f>
        <v>0D0A1E</v>
      </c>
      <c r="C11" s="317"/>
      <c r="D11" s="318"/>
      <c r="E11" s="317"/>
      <c r="F11" s="318"/>
      <c r="G11" s="317"/>
      <c r="H11" s="319"/>
      <c r="I11" s="500"/>
      <c r="J11" s="319"/>
      <c r="K11" s="500"/>
      <c r="L11" s="319"/>
      <c r="M11" s="320"/>
      <c r="N11" s="321"/>
      <c r="O11" s="443">
        <f t="shared" si="0"/>
        <v>0</v>
      </c>
      <c r="P11" s="444">
        <f t="shared" si="1"/>
        <v>0</v>
      </c>
      <c r="Q11" s="31">
        <f>'t1'!M11</f>
        <v>0</v>
      </c>
    </row>
    <row r="12" spans="1:17" ht="13.5" customHeight="1">
      <c r="A12" s="141" t="str">
        <f>'t1'!A12</f>
        <v>PROCURATORE II CLASSE</v>
      </c>
      <c r="B12" s="210" t="str">
        <f>'t1'!B12</f>
        <v>0D0383</v>
      </c>
      <c r="C12" s="317"/>
      <c r="D12" s="318"/>
      <c r="E12" s="317"/>
      <c r="F12" s="318"/>
      <c r="G12" s="317"/>
      <c r="H12" s="319"/>
      <c r="I12" s="500"/>
      <c r="J12" s="319"/>
      <c r="K12" s="500"/>
      <c r="L12" s="319"/>
      <c r="M12" s="320"/>
      <c r="N12" s="321"/>
      <c r="O12" s="443">
        <f t="shared" si="0"/>
        <v>0</v>
      </c>
      <c r="P12" s="444">
        <f t="shared" si="1"/>
        <v>0</v>
      </c>
      <c r="Q12" s="31">
        <f>'t1'!M12</f>
        <v>0</v>
      </c>
    </row>
    <row r="13" spans="1:17" ht="13.5" customHeight="1" thickBot="1">
      <c r="A13" s="141" t="str">
        <f>'t1'!A13</f>
        <v>PROCURATORE I CLASSE</v>
      </c>
      <c r="B13" s="210" t="str">
        <f>'t1'!B13</f>
        <v>0D0382</v>
      </c>
      <c r="C13" s="317"/>
      <c r="D13" s="318"/>
      <c r="E13" s="317"/>
      <c r="F13" s="318"/>
      <c r="G13" s="317"/>
      <c r="H13" s="319"/>
      <c r="I13" s="500"/>
      <c r="J13" s="319"/>
      <c r="K13" s="500"/>
      <c r="L13" s="319"/>
      <c r="M13" s="320"/>
      <c r="N13" s="321"/>
      <c r="O13" s="443">
        <f t="shared" si="0"/>
        <v>0</v>
      </c>
      <c r="P13" s="444">
        <f t="shared" si="1"/>
        <v>0</v>
      </c>
      <c r="Q13" s="31">
        <f>'t1'!M13</f>
        <v>0</v>
      </c>
    </row>
    <row r="14" spans="1:16" ht="12" customHeight="1" thickBot="1" thickTop="1">
      <c r="A14" s="37" t="s">
        <v>58</v>
      </c>
      <c r="B14" s="38"/>
      <c r="C14" s="445">
        <f aca="true" t="shared" si="2" ref="C14:P14">SUM(C6:C13)</f>
        <v>0</v>
      </c>
      <c r="D14" s="446">
        <f t="shared" si="2"/>
        <v>0</v>
      </c>
      <c r="E14" s="445">
        <f t="shared" si="2"/>
        <v>0</v>
      </c>
      <c r="F14" s="446">
        <f t="shared" si="2"/>
        <v>0</v>
      </c>
      <c r="G14" s="445">
        <f t="shared" si="2"/>
        <v>0</v>
      </c>
      <c r="H14" s="446">
        <f t="shared" si="2"/>
        <v>0</v>
      </c>
      <c r="I14" s="501">
        <f t="shared" si="2"/>
        <v>0</v>
      </c>
      <c r="J14" s="446">
        <f t="shared" si="2"/>
        <v>0</v>
      </c>
      <c r="K14" s="501">
        <f t="shared" si="2"/>
        <v>0</v>
      </c>
      <c r="L14" s="446">
        <f t="shared" si="2"/>
        <v>0</v>
      </c>
      <c r="M14" s="502">
        <f t="shared" si="2"/>
        <v>0</v>
      </c>
      <c r="N14" s="446">
        <f t="shared" si="2"/>
        <v>0</v>
      </c>
      <c r="O14" s="445">
        <f t="shared" si="2"/>
        <v>0</v>
      </c>
      <c r="P14" s="446">
        <f t="shared" si="2"/>
        <v>0</v>
      </c>
    </row>
    <row r="15" spans="1:20" ht="18" customHeight="1">
      <c r="A15" s="21"/>
      <c r="B15" s="7"/>
      <c r="C15" s="5"/>
      <c r="D15" s="5"/>
      <c r="E15" s="5"/>
      <c r="F15" s="5"/>
      <c r="G15" s="5"/>
      <c r="H15" s="5"/>
      <c r="I15" s="5"/>
      <c r="J15" s="5"/>
      <c r="K15" s="5"/>
      <c r="L15" s="5"/>
      <c r="M15" s="5"/>
      <c r="N15" s="5"/>
      <c r="O15" s="74"/>
      <c r="P15" s="39"/>
      <c r="Q15" s="39"/>
      <c r="R15" s="39"/>
      <c r="S15" s="39"/>
      <c r="T15" s="39"/>
    </row>
    <row r="16" spans="1:2" s="5" customFormat="1" ht="9.75">
      <c r="A16" s="21"/>
      <c r="B16" s="7"/>
    </row>
  </sheetData>
  <sheetProtection password="EA98" sheet="1" formatColumns="0" selectLockedCells="1"/>
  <mergeCells count="8">
    <mergeCell ref="M3:P3"/>
    <mergeCell ref="A1:N1"/>
    <mergeCell ref="G4:H4"/>
    <mergeCell ref="I4:J4"/>
    <mergeCell ref="M4:N4"/>
    <mergeCell ref="K4:L4"/>
    <mergeCell ref="E4:F4"/>
    <mergeCell ref="C4:D4"/>
  </mergeCells>
  <conditionalFormatting sqref="A6:P13">
    <cfRule type="expression" priority="1" dxfId="4"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ANTONELLI Gianluca</cp:lastModifiedBy>
  <cp:lastPrinted>2012-05-02T17:05:27Z</cp:lastPrinted>
  <dcterms:created xsi:type="dcterms:W3CDTF">1998-10-29T14:18:41Z</dcterms:created>
  <dcterms:modified xsi:type="dcterms:W3CDTF">2022-07-06T07:07:26Z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